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ementev\Documents\Кейс\"/>
    </mc:Choice>
  </mc:AlternateContent>
  <bookViews>
    <workbookView xWindow="0" yWindow="0" windowWidth="28800" windowHeight="12000"/>
  </bookViews>
  <sheets>
    <sheet name="Прогноз (отчетность)" sheetId="2" r:id="rId1"/>
    <sheet name="Фин анализ" sheetId="5" r:id="rId2"/>
    <sheet name="-2 года" sheetId="4" r:id="rId3"/>
    <sheet name="-1 год" sheetId="3" r:id="rId4"/>
    <sheet name="Прогноз" sheetId="1" r:id="rId5"/>
    <sheet name="Настройки" sheetId="6" r:id="rId6"/>
  </sheets>
  <definedNames>
    <definedName name="_xlnm.Print_Area" localSheetId="5">Настройки!$A$1:$J$20</definedName>
    <definedName name="_xlnm.Print_Area" localSheetId="0">'Прогноз (отчетность)'!$A$1:$I$87</definedName>
    <definedName name="_xlnm.Print_Area" localSheetId="1">'Фин анализ'!$A$1:$G$158</definedName>
    <definedName name="УчетПриРасчетеКоэф">Настройки!$H$10:$I$10</definedName>
  </definedNames>
  <calcPr calcId="162913"/>
</workbook>
</file>

<file path=xl/calcChain.xml><?xml version="1.0" encoding="utf-8"?>
<calcChain xmlns="http://schemas.openxmlformats.org/spreadsheetml/2006/main">
  <c r="D12" i="1" l="1"/>
  <c r="D14" i="1"/>
  <c r="D15" i="1"/>
  <c r="D12" i="3"/>
  <c r="D14" i="3"/>
  <c r="D15" i="3"/>
  <c r="D50" i="3" l="1"/>
  <c r="C43" i="3"/>
  <c r="C49" i="3" s="1"/>
  <c r="C52" i="3" s="1"/>
  <c r="C55" i="3" s="1"/>
  <c r="C41" i="3"/>
  <c r="D39" i="3"/>
  <c r="D43" i="3" s="1"/>
  <c r="D49" i="3" s="1"/>
  <c r="D52" i="3" s="1"/>
  <c r="D55" i="3" s="1"/>
  <c r="C33" i="3"/>
  <c r="D31" i="3"/>
  <c r="C24" i="3"/>
  <c r="D23" i="3"/>
  <c r="C23" i="3"/>
  <c r="D22" i="3"/>
  <c r="D21" i="3"/>
  <c r="C17" i="3"/>
  <c r="D9" i="3"/>
  <c r="C9" i="3"/>
  <c r="C9" i="1"/>
  <c r="C43" i="1"/>
  <c r="C41" i="1"/>
  <c r="C33" i="1"/>
  <c r="C23" i="1"/>
  <c r="C24" i="1" s="1"/>
  <c r="C17" i="1"/>
  <c r="D50" i="1"/>
  <c r="D39" i="1"/>
  <c r="D43" i="1" s="1"/>
  <c r="D31" i="1"/>
  <c r="D33" i="1" s="1"/>
  <c r="D23" i="1"/>
  <c r="D22" i="1"/>
  <c r="D21" i="1"/>
  <c r="D9" i="1"/>
  <c r="D24" i="3" l="1"/>
  <c r="C3" i="3"/>
  <c r="D17" i="3"/>
  <c r="D3" i="3" s="1"/>
  <c r="D33" i="3"/>
  <c r="D41" i="3"/>
  <c r="C3" i="1"/>
  <c r="C49" i="1"/>
  <c r="D24" i="1"/>
  <c r="G42" i="2" s="1"/>
  <c r="D17" i="1"/>
  <c r="D3" i="1" s="1"/>
  <c r="D49" i="1"/>
  <c r="D41" i="1"/>
  <c r="H85" i="2"/>
  <c r="H84" i="2"/>
  <c r="H83" i="2"/>
  <c r="H78" i="2"/>
  <c r="H79" i="2"/>
  <c r="H80" i="2"/>
  <c r="H81" i="2"/>
  <c r="H77" i="2"/>
  <c r="H75" i="2"/>
  <c r="H74" i="2"/>
  <c r="H70" i="2"/>
  <c r="H71" i="2"/>
  <c r="H72" i="2"/>
  <c r="H73" i="2"/>
  <c r="H69" i="2"/>
  <c r="H67" i="2"/>
  <c r="H66" i="2"/>
  <c r="H63" i="2"/>
  <c r="H64" i="2"/>
  <c r="H62" i="2"/>
  <c r="H44" i="2"/>
  <c r="H45" i="2"/>
  <c r="H46" i="2"/>
  <c r="H47" i="2"/>
  <c r="H48" i="2"/>
  <c r="H49" i="2"/>
  <c r="H50" i="2"/>
  <c r="H51" i="2"/>
  <c r="H52" i="2"/>
  <c r="H53" i="2"/>
  <c r="H54" i="2"/>
  <c r="H55" i="2"/>
  <c r="H43" i="2"/>
  <c r="H41" i="2"/>
  <c r="H36" i="2"/>
  <c r="H37" i="2"/>
  <c r="H38" i="2"/>
  <c r="H39" i="2"/>
  <c r="H40" i="2"/>
  <c r="H35" i="2"/>
  <c r="H28" i="2"/>
  <c r="H29" i="2"/>
  <c r="H30" i="2"/>
  <c r="H31" i="2"/>
  <c r="H32" i="2"/>
  <c r="H33" i="2"/>
  <c r="H27" i="2"/>
  <c r="H18" i="2"/>
  <c r="H19" i="2"/>
  <c r="H20" i="2"/>
  <c r="H21" i="2"/>
  <c r="H22" i="2"/>
  <c r="H23" i="2"/>
  <c r="H24" i="2"/>
  <c r="H17" i="2"/>
  <c r="H16" i="2"/>
  <c r="H15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3" i="2"/>
  <c r="G84" i="2"/>
  <c r="G85" i="2"/>
  <c r="G62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27" i="2"/>
  <c r="G16" i="2"/>
  <c r="G17" i="2"/>
  <c r="G18" i="2"/>
  <c r="G19" i="2"/>
  <c r="G20" i="2"/>
  <c r="G21" i="2"/>
  <c r="G22" i="2"/>
  <c r="G23" i="2"/>
  <c r="G24" i="2"/>
  <c r="G25" i="2"/>
  <c r="G15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62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D33" i="5" s="1"/>
  <c r="F52" i="2"/>
  <c r="F53" i="2"/>
  <c r="F54" i="2"/>
  <c r="F55" i="2"/>
  <c r="F27" i="2"/>
  <c r="F16" i="2"/>
  <c r="F17" i="2"/>
  <c r="F18" i="2"/>
  <c r="F19" i="2"/>
  <c r="F20" i="2"/>
  <c r="F21" i="2"/>
  <c r="F22" i="2"/>
  <c r="F23" i="2"/>
  <c r="F24" i="2"/>
  <c r="F25" i="2"/>
  <c r="D10" i="5" s="1"/>
  <c r="F15" i="2"/>
  <c r="F13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62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27" i="2"/>
  <c r="D16" i="2"/>
  <c r="D17" i="2"/>
  <c r="D18" i="2"/>
  <c r="D19" i="2"/>
  <c r="D20" i="2"/>
  <c r="D21" i="2"/>
  <c r="D22" i="2"/>
  <c r="D23" i="2"/>
  <c r="D24" i="2"/>
  <c r="D25" i="2"/>
  <c r="D15" i="2"/>
  <c r="D13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62" i="2"/>
  <c r="E28" i="2"/>
  <c r="C31" i="5" s="1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C33" i="5" s="1"/>
  <c r="E52" i="2"/>
  <c r="E53" i="2"/>
  <c r="E54" i="2"/>
  <c r="E55" i="2"/>
  <c r="E27" i="2"/>
  <c r="E25" i="2"/>
  <c r="E16" i="2"/>
  <c r="E17" i="2"/>
  <c r="E18" i="2"/>
  <c r="E19" i="2"/>
  <c r="E20" i="2"/>
  <c r="E21" i="2"/>
  <c r="E22" i="2"/>
  <c r="E23" i="2"/>
  <c r="E24" i="2"/>
  <c r="E15" i="2"/>
  <c r="E13" i="2"/>
  <c r="E31" i="5" l="1"/>
  <c r="F31" i="5"/>
  <c r="E10" i="5"/>
  <c r="D31" i="5"/>
  <c r="D30" i="5"/>
  <c r="C34" i="5"/>
  <c r="D34" i="5"/>
  <c r="C23" i="5"/>
  <c r="D23" i="5"/>
  <c r="D29" i="5"/>
  <c r="C25" i="5"/>
  <c r="C35" i="5"/>
  <c r="C30" i="5"/>
  <c r="C32" i="5"/>
  <c r="C26" i="5"/>
  <c r="D25" i="5"/>
  <c r="D35" i="5"/>
  <c r="D32" i="5"/>
  <c r="D26" i="5"/>
  <c r="C28" i="5"/>
  <c r="D28" i="5"/>
  <c r="C29" i="5"/>
  <c r="E18" i="5"/>
  <c r="E14" i="5"/>
  <c r="E19" i="5"/>
  <c r="F18" i="5"/>
  <c r="F19" i="5"/>
  <c r="C9" i="5"/>
  <c r="C12" i="5"/>
  <c r="C7" i="5"/>
  <c r="C15" i="5"/>
  <c r="C11" i="5"/>
  <c r="C17" i="5"/>
  <c r="C13" i="5"/>
  <c r="C22" i="5"/>
  <c r="D15" i="5"/>
  <c r="D11" i="5"/>
  <c r="D7" i="5"/>
  <c r="D9" i="5"/>
  <c r="E35" i="5"/>
  <c r="D12" i="5"/>
  <c r="D17" i="5"/>
  <c r="D13" i="5"/>
  <c r="D22" i="5"/>
  <c r="E33" i="5"/>
  <c r="F33" i="5"/>
  <c r="C10" i="5"/>
  <c r="E12" i="5"/>
  <c r="E9" i="5"/>
  <c r="E15" i="5"/>
  <c r="E30" i="5"/>
  <c r="E17" i="5"/>
  <c r="E32" i="5"/>
  <c r="E23" i="5"/>
  <c r="E20" i="5"/>
  <c r="E28" i="5"/>
  <c r="F32" i="5"/>
  <c r="C18" i="5"/>
  <c r="C14" i="5"/>
  <c r="C19" i="5"/>
  <c r="C20" i="5"/>
  <c r="D19" i="5"/>
  <c r="D14" i="5"/>
  <c r="D18" i="5"/>
  <c r="D20" i="5"/>
  <c r="E29" i="5"/>
  <c r="F29" i="5"/>
  <c r="G13" i="2"/>
  <c r="E34" i="5" s="1"/>
  <c r="C52" i="1"/>
  <c r="C55" i="1" s="1"/>
  <c r="D52" i="1"/>
  <c r="G56" i="2"/>
  <c r="E56" i="2"/>
  <c r="H56" i="2"/>
  <c r="F56" i="2"/>
  <c r="E57" i="2"/>
  <c r="C8" i="5" s="1"/>
  <c r="H61" i="2"/>
  <c r="H12" i="2"/>
  <c r="F6" i="5" s="1"/>
  <c r="G61" i="2"/>
  <c r="F61" i="2"/>
  <c r="E61" i="2"/>
  <c r="G12" i="2"/>
  <c r="E6" i="5" s="1"/>
  <c r="F12" i="2"/>
  <c r="D6" i="5" s="1"/>
  <c r="E12" i="2"/>
  <c r="C6" i="5" s="1"/>
  <c r="C16" i="5" l="1"/>
  <c r="E7" i="5"/>
  <c r="E13" i="5"/>
  <c r="E11" i="5"/>
  <c r="D55" i="1"/>
  <c r="G86" i="2" s="1"/>
  <c r="G82" i="2"/>
  <c r="I56" i="2"/>
  <c r="I84" i="2"/>
  <c r="I21" i="2"/>
  <c r="E58" i="2"/>
  <c r="I18" i="2"/>
  <c r="I37" i="2"/>
  <c r="I54" i="2"/>
  <c r="I19" i="2"/>
  <c r="I46" i="2"/>
  <c r="E26" i="5" l="1"/>
  <c r="E22" i="5"/>
  <c r="E25" i="5"/>
  <c r="I60" i="2"/>
  <c r="I22" i="2" l="1"/>
  <c r="I16" i="2"/>
  <c r="I41" i="2"/>
  <c r="I71" i="2"/>
  <c r="I74" i="2"/>
  <c r="B9" i="2"/>
  <c r="B8" i="2" l="1"/>
  <c r="I36" i="2"/>
  <c r="I31" i="2"/>
  <c r="I27" i="2"/>
  <c r="I32" i="2"/>
  <c r="I20" i="2"/>
  <c r="I70" i="2"/>
  <c r="I52" i="2"/>
  <c r="I47" i="2"/>
  <c r="I40" i="2"/>
  <c r="I35" i="2"/>
  <c r="I30" i="2"/>
  <c r="I24" i="2"/>
  <c r="I17" i="2"/>
  <c r="H25" i="2"/>
  <c r="H34" i="2"/>
  <c r="I28" i="2"/>
  <c r="I33" i="2"/>
  <c r="I29" i="2"/>
  <c r="I23" i="2"/>
  <c r="I15" i="2"/>
  <c r="F57" i="2"/>
  <c r="D87" i="2"/>
  <c r="G58" i="2"/>
  <c r="I81" i="2"/>
  <c r="I77" i="2"/>
  <c r="I64" i="2"/>
  <c r="D58" i="2"/>
  <c r="D59" i="2" s="1"/>
  <c r="E87" i="2"/>
  <c r="C27" i="5" s="1"/>
  <c r="G87" i="2"/>
  <c r="I80" i="2"/>
  <c r="I75" i="2"/>
  <c r="I69" i="2"/>
  <c r="H65" i="2"/>
  <c r="I63" i="2"/>
  <c r="I51" i="2"/>
  <c r="I45" i="2"/>
  <c r="I39" i="2"/>
  <c r="F58" i="2"/>
  <c r="B7" i="2"/>
  <c r="G57" i="2"/>
  <c r="I85" i="2"/>
  <c r="I79" i="2"/>
  <c r="I73" i="2"/>
  <c r="I67" i="2"/>
  <c r="I62" i="2"/>
  <c r="I50" i="2"/>
  <c r="I44" i="2"/>
  <c r="H42" i="2"/>
  <c r="I38" i="2"/>
  <c r="D57" i="2"/>
  <c r="F87" i="2"/>
  <c r="D27" i="5" s="1"/>
  <c r="I83" i="2"/>
  <c r="I78" i="2"/>
  <c r="I72" i="2"/>
  <c r="I66" i="2"/>
  <c r="I53" i="2"/>
  <c r="I49" i="2"/>
  <c r="I43" i="2"/>
  <c r="G26" i="2"/>
  <c r="G14" i="2"/>
  <c r="F14" i="2"/>
  <c r="F26" i="2"/>
  <c r="D26" i="2"/>
  <c r="D14" i="2"/>
  <c r="E26" i="2"/>
  <c r="E14" i="2"/>
  <c r="F9" i="5" l="1"/>
  <c r="F15" i="5"/>
  <c r="F12" i="5"/>
  <c r="F35" i="5"/>
  <c r="E8" i="5"/>
  <c r="E16" i="5"/>
  <c r="C21" i="5"/>
  <c r="C24" i="5"/>
  <c r="D21" i="5"/>
  <c r="D24" i="5"/>
  <c r="F30" i="5"/>
  <c r="F17" i="5"/>
  <c r="F14" i="5"/>
  <c r="H26" i="2"/>
  <c r="I26" i="2" s="1"/>
  <c r="F10" i="5"/>
  <c r="E27" i="5"/>
  <c r="E21" i="5"/>
  <c r="E24" i="5"/>
  <c r="D8" i="5"/>
  <c r="D16" i="5"/>
  <c r="I34" i="2"/>
  <c r="H13" i="2"/>
  <c r="F34" i="5" s="1"/>
  <c r="I25" i="2"/>
  <c r="G59" i="2"/>
  <c r="H58" i="2"/>
  <c r="I42" i="2"/>
  <c r="I55" i="2"/>
  <c r="F59" i="2"/>
  <c r="E59" i="2"/>
  <c r="I65" i="2"/>
  <c r="H68" i="2"/>
  <c r="H57" i="2"/>
  <c r="I48" i="2"/>
  <c r="F8" i="5" l="1"/>
  <c r="F16" i="5"/>
  <c r="F7" i="5"/>
  <c r="F20" i="5"/>
  <c r="F28" i="5"/>
  <c r="F13" i="5"/>
  <c r="F11" i="5"/>
  <c r="I13" i="2"/>
  <c r="H14" i="2"/>
  <c r="I14" i="2" s="1"/>
  <c r="I57" i="2"/>
  <c r="H59" i="2"/>
  <c r="I59" i="2" s="1"/>
  <c r="I58" i="2"/>
  <c r="I68" i="2"/>
  <c r="H76" i="2"/>
  <c r="F23" i="5" l="1"/>
  <c r="H82" i="2"/>
  <c r="I76" i="2"/>
  <c r="H87" i="2"/>
  <c r="F26" i="5" l="1"/>
  <c r="F22" i="5"/>
  <c r="F25" i="5"/>
  <c r="F21" i="5"/>
  <c r="F27" i="5"/>
  <c r="F24" i="5"/>
  <c r="H86" i="2"/>
  <c r="I87" i="2"/>
  <c r="I82" i="2"/>
  <c r="I86" i="2" l="1"/>
</calcChain>
</file>

<file path=xl/sharedStrings.xml><?xml version="1.0" encoding="utf-8"?>
<sst xmlns="http://schemas.openxmlformats.org/spreadsheetml/2006/main" count="380" uniqueCount="191">
  <si>
    <t/>
  </si>
  <si>
    <t>Код</t>
  </si>
  <si>
    <t>1600</t>
  </si>
  <si>
    <t>Внеоборотные активы</t>
  </si>
  <si>
    <t>Основные средства</t>
  </si>
  <si>
    <t>1150</t>
  </si>
  <si>
    <t>Отложенные налоговые активы</t>
  </si>
  <si>
    <t>1180</t>
  </si>
  <si>
    <t>1100</t>
  </si>
  <si>
    <t>Оборотные активы</t>
  </si>
  <si>
    <t>Запасы</t>
  </si>
  <si>
    <t>1210</t>
  </si>
  <si>
    <t>НДС по приобретенным ценностям</t>
  </si>
  <si>
    <t>1220</t>
  </si>
  <si>
    <t>Дебиторская задолженность</t>
  </si>
  <si>
    <t>1230</t>
  </si>
  <si>
    <t>Денежные средства и денежные эквиваленты</t>
  </si>
  <si>
    <t>1250</t>
  </si>
  <si>
    <t>Прочие оборотные активы</t>
  </si>
  <si>
    <t>1260</t>
  </si>
  <si>
    <t>1200</t>
  </si>
  <si>
    <t>Капитал и резервы</t>
  </si>
  <si>
    <t>Уставный капитал</t>
  </si>
  <si>
    <t>1310</t>
  </si>
  <si>
    <t>Добавочный капитал (без переоценки)</t>
  </si>
  <si>
    <t>1350</t>
  </si>
  <si>
    <t>Нераспределенная прибыль (непокрытый убыток)</t>
  </si>
  <si>
    <t>1370</t>
  </si>
  <si>
    <t>1300</t>
  </si>
  <si>
    <t>Долгосрочные обязательства</t>
  </si>
  <si>
    <t>Заемные средства</t>
  </si>
  <si>
    <t>1410</t>
  </si>
  <si>
    <t>Отложенные налоговые обязательства</t>
  </si>
  <si>
    <t>1420</t>
  </si>
  <si>
    <t>1400</t>
  </si>
  <si>
    <t>Краткосрочные обязательства</t>
  </si>
  <si>
    <t>1510</t>
  </si>
  <si>
    <t>Кредиторская задолженность</t>
  </si>
  <si>
    <t>1520</t>
  </si>
  <si>
    <t>1500</t>
  </si>
  <si>
    <t>Доходы и расходы по обычным видам деятельности</t>
  </si>
  <si>
    <t>Выручка</t>
  </si>
  <si>
    <t>2110</t>
  </si>
  <si>
    <t>Себестоимость продаж</t>
  </si>
  <si>
    <t>2120</t>
  </si>
  <si>
    <t>Валовая прибыль (убыток)</t>
  </si>
  <si>
    <t>2100</t>
  </si>
  <si>
    <t>Коммерческие расходы</t>
  </si>
  <si>
    <t>2210</t>
  </si>
  <si>
    <t>Прибыль (убыток) от продаж</t>
  </si>
  <si>
    <t>2200</t>
  </si>
  <si>
    <t>Прочие доходы и расходы</t>
  </si>
  <si>
    <t>Проценты к уплате</t>
  </si>
  <si>
    <t>2330</t>
  </si>
  <si>
    <t>Прочие доходы</t>
  </si>
  <si>
    <t>2340</t>
  </si>
  <si>
    <t>Прочие расходы</t>
  </si>
  <si>
    <t>2350</t>
  </si>
  <si>
    <t>Прибыль (убыток) до налогообложения</t>
  </si>
  <si>
    <t>2300</t>
  </si>
  <si>
    <t>Текущий налог на прибыль</t>
  </si>
  <si>
    <t>2410</t>
  </si>
  <si>
    <t>Постоянные налоговые обязательства (активы)</t>
  </si>
  <si>
    <t>2421</t>
  </si>
  <si>
    <t>2450</t>
  </si>
  <si>
    <t>Прочее</t>
  </si>
  <si>
    <t>2460</t>
  </si>
  <si>
    <t>Чистая прибыль (убыток)</t>
  </si>
  <si>
    <t>2400</t>
  </si>
  <si>
    <t>Справочно</t>
  </si>
  <si>
    <t>Совокупный финансовый результат периода</t>
  </si>
  <si>
    <t>2500</t>
  </si>
  <si>
    <t>Прочие внеоборотные активы</t>
  </si>
  <si>
    <t>1190</t>
  </si>
  <si>
    <t>Оценочные обязательства</t>
  </si>
  <si>
    <t>1540</t>
  </si>
  <si>
    <t>2430</t>
  </si>
  <si>
    <t>1110</t>
  </si>
  <si>
    <t>1120</t>
  </si>
  <si>
    <t>1170</t>
  </si>
  <si>
    <t>1240</t>
  </si>
  <si>
    <t>1340</t>
  </si>
  <si>
    <t>1360</t>
  </si>
  <si>
    <t>1450</t>
  </si>
  <si>
    <t>1530</t>
  </si>
  <si>
    <t>Нематериальные активы</t>
  </si>
  <si>
    <t>Результаты исследований и разработок</t>
  </si>
  <si>
    <t>Финансовые вложения</t>
  </si>
  <si>
    <t>Переоценка внеоборотных активов</t>
  </si>
  <si>
    <t>Резервный капитал</t>
  </si>
  <si>
    <t>Прочие обязательства</t>
  </si>
  <si>
    <t>Доходы будущих периодов</t>
  </si>
  <si>
    <t>Итого обязательства</t>
  </si>
  <si>
    <t>Баланс</t>
  </si>
  <si>
    <t>Форма №1. Бухгалтерский баланс</t>
  </si>
  <si>
    <t>Наименование статьи</t>
  </si>
  <si>
    <t>2220</t>
  </si>
  <si>
    <t>2310</t>
  </si>
  <si>
    <t>2320</t>
  </si>
  <si>
    <t>Управленческие расходы</t>
  </si>
  <si>
    <t>Доходы от участия в других организациях</t>
  </si>
  <si>
    <t>Проценты к получению</t>
  </si>
  <si>
    <t>Изменение ОНО</t>
  </si>
  <si>
    <t>Изменение ОНА</t>
  </si>
  <si>
    <t>Форма №2. Отчет о финансовых результатах</t>
  </si>
  <si>
    <t>Прогноз</t>
  </si>
  <si>
    <t>Изменение, %</t>
  </si>
  <si>
    <t>Результат от переоценки внеоборотных активов</t>
  </si>
  <si>
    <t>Прогнозная стоимость ноу-хау, тыс. руб.</t>
  </si>
  <si>
    <t>Отношение к годовой выручке</t>
  </si>
  <si>
    <t>Отношение к стоимости внеоборотных активов</t>
  </si>
  <si>
    <t>Отношение к общей стоимости активов</t>
  </si>
  <si>
    <t>Доля НМА в общей стоимости активов</t>
  </si>
  <si>
    <t>Доля НМА в стоимости внеоборотных активов</t>
  </si>
  <si>
    <t>EBIT</t>
  </si>
  <si>
    <t>Оборачиваемость оборотных средств</t>
  </si>
  <si>
    <t>Оборачиваемость запасов</t>
  </si>
  <si>
    <t>Оборачиваемость дебиторской задолженности</t>
  </si>
  <si>
    <t>Оборачиваемость кредиторской задолженности</t>
  </si>
  <si>
    <t>Оборачиваемость активов</t>
  </si>
  <si>
    <t>Оборачиваемость собственного капитала</t>
  </si>
  <si>
    <t>Рентабельность продаж</t>
  </si>
  <si>
    <t>1320</t>
  </si>
  <si>
    <t>Собственные акции, выкупленные у акционеров</t>
  </si>
  <si>
    <t>1430</t>
  </si>
  <si>
    <t>1550</t>
  </si>
  <si>
    <t>1130</t>
  </si>
  <si>
    <t>1140</t>
  </si>
  <si>
    <t>Нематериальные поисковые активы</t>
  </si>
  <si>
    <t>Материальные поисковые активы</t>
  </si>
  <si>
    <t>1160</t>
  </si>
  <si>
    <t>Доходные вложения в материальные ценности</t>
  </si>
  <si>
    <t>2510</t>
  </si>
  <si>
    <t>2520</t>
  </si>
  <si>
    <t>Результат от прочих операций</t>
  </si>
  <si>
    <t>Разница в итогах баланса</t>
  </si>
  <si>
    <t>Коэффициент автономии (К1)</t>
  </si>
  <si>
    <t>Коэффициент финансового левериджа (К2)</t>
  </si>
  <si>
    <t>Коэффициент обеспеченности собственными ОбС (К3)</t>
  </si>
  <si>
    <t>Индекс постоянного актива (К4)</t>
  </si>
  <si>
    <t>Коэффициент покрытия инвестиций (К5)</t>
  </si>
  <si>
    <t>Коэффициент маневренности СК (К6)</t>
  </si>
  <si>
    <t>Коэффициент мобильности имущества (К7)</t>
  </si>
  <si>
    <t>Коэффициент мобильности ОбС (К8)</t>
  </si>
  <si>
    <t>Коэффициент обеспеченности запасов (К9)</t>
  </si>
  <si>
    <t>Коэффициент текущей (общей) ликвидности (Л1)</t>
  </si>
  <si>
    <t>Коэффициент быстрой (промежуточной) ликвидности (Л2)</t>
  </si>
  <si>
    <t>Коэффициент абсолютной ликвидности (Л3)</t>
  </si>
  <si>
    <t>Рентабельность продаж по EBIT</t>
  </si>
  <si>
    <t>Рентабельность продаж по чистой прибыли</t>
  </si>
  <si>
    <t>Коэффициент покрытия процентов к уплате</t>
  </si>
  <si>
    <t>Рентабельность СК (ROE)</t>
  </si>
  <si>
    <t>Рентабельность активов (ROA)</t>
  </si>
  <si>
    <t>Прибыль на задействованный капитал (ROCE)</t>
  </si>
  <si>
    <t>Рентабельность производственных фондов</t>
  </si>
  <si>
    <t>Коэффициент фондоотдачи</t>
  </si>
  <si>
    <t>Показатель</t>
  </si>
  <si>
    <t>Коэффициент краткосрочной задолженности (К10)</t>
  </si>
  <si>
    <t>-3 года</t>
  </si>
  <si>
    <t>-2 года</t>
  </si>
  <si>
    <t>-1 год</t>
  </si>
  <si>
    <t>(не отображается)</t>
  </si>
  <si>
    <t>Итого заемные средства</t>
  </si>
  <si>
    <t>Чистый долг к EBIT</t>
  </si>
  <si>
    <r>
      <rPr>
        <b/>
        <sz val="10"/>
        <color theme="0"/>
        <rFont val="Arial"/>
        <family val="2"/>
        <charset val="204"/>
      </rPr>
      <t>Форма №1</t>
    </r>
  </si>
  <si>
    <r>
      <rPr>
        <b/>
        <sz val="10"/>
        <color theme="0"/>
        <rFont val="Arial"/>
        <family val="2"/>
        <charset val="204"/>
      </rPr>
      <t>Бухгалтерский баланс</t>
    </r>
  </si>
  <si>
    <t>Итого</t>
  </si>
  <si>
    <t>факт</t>
  </si>
  <si>
    <t>прогноз</t>
  </si>
  <si>
    <r>
      <rPr>
        <b/>
        <sz val="10"/>
        <rFont val="Arial"/>
        <family val="2"/>
        <charset val="204"/>
      </rPr>
      <t>Баланс</t>
    </r>
  </si>
  <si>
    <r>
      <rPr>
        <b/>
        <sz val="10"/>
        <rFont val="Arial"/>
        <family val="2"/>
        <charset val="204"/>
      </rPr>
      <t>Итого</t>
    </r>
  </si>
  <si>
    <t>**Данные получены из источников ГМЦ Росстата.</t>
  </si>
  <si>
    <t>Прогноз с НМА</t>
  </si>
  <si>
    <t>Наименование*</t>
  </si>
  <si>
    <t>Графа значений на листе данных**</t>
  </si>
  <si>
    <t>* Указанное наименование отображается в заголовках таблиц (форма № 1 и форма № 2) на листе "Прогноз (отчетность)"</t>
  </si>
  <si>
    <t>Лист данных</t>
  </si>
  <si>
    <t>Отчетный период</t>
  </si>
  <si>
    <t>** Порядковый номер столбца, начиная с графы "Код", на соответствующем листе</t>
  </si>
  <si>
    <t>да</t>
  </si>
  <si>
    <t>нет</t>
  </si>
  <si>
    <t>Учитывать при расчете коэффициентов***</t>
  </si>
  <si>
    <t>*** Если данные за период не введены и выбрано "да", в расчетах будет учитываться 0, иначе период не включается в расчет</t>
  </si>
  <si>
    <t>Скопируйте показатели отчетности за предыдущие периоды и вставьте значения на соответствующие листы</t>
  </si>
  <si>
    <t>При необходимости скорректируйте наименования и номера столбцов, из которых берутся показатели отчетности</t>
  </si>
  <si>
    <t>Расчетные значения и графики обновляются автоматически с учетом изменения прогнозной стоимости ноу-хау на листе "Прогноз (отчетность)"</t>
  </si>
  <si>
    <r>
      <t xml:space="preserve">Если у вас остались вопросы или вы хотите, чтобы мы расчитали модель для вас - напишите ваш запрос на электронную почту </t>
    </r>
    <r>
      <rPr>
        <b/>
        <sz val="10"/>
        <color theme="0"/>
        <rFont val="Arial"/>
        <family val="2"/>
        <charset val="204"/>
      </rPr>
      <t>consulting@gardium.ru Екатерине Бусыгиной</t>
    </r>
  </si>
  <si>
    <t>Введите прогнозное значение стоимости НМА, принимаемого к учету</t>
  </si>
  <si>
    <t>2019 (прогноз)</t>
  </si>
  <si>
    <r>
      <rPr>
        <b/>
        <sz val="10"/>
        <color theme="0"/>
        <rFont val="Arial"/>
        <family val="2"/>
        <charset val="204"/>
      </rPr>
      <t>Форма №2</t>
    </r>
  </si>
  <si>
    <r>
      <rPr>
        <b/>
        <sz val="10"/>
        <color theme="0"/>
        <rFont val="Arial"/>
        <family val="2"/>
        <charset val="204"/>
      </rPr>
      <t>Отчет о финансовых результатах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</si>
</sst>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#,##0.0"/>
  </numFmts>
  <fonts count="12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5" tint="0.59999389629810485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1A4769"/>
      <name val="Arial"/>
      <family val="2"/>
      <charset val="204"/>
    </font>
    <font>
      <sz val="10"/>
      <color rgb="FF1A4769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A4769"/>
        <bgColor indexed="64"/>
      </patternFill>
    </fill>
    <fill>
      <patternFill patternType="solid">
        <fgColor rgb="FFE6EBED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4.9989318521683403E-2"/>
      </left>
      <right style="thin">
        <color theme="0" tint="-4.9989318521683403E-2"/>
      </right>
      <top style="thick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n">
        <color theme="0" tint="-4.9989318521683403E-2"/>
      </bottom>
      <diagonal/>
    </border>
    <border>
      <left style="thick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ck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ck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 style="thin">
        <color theme="0" tint="-4.9989318521683403E-2"/>
      </left>
      <right style="thick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NumberFormat="1" applyFont="1" applyAlignment="1">
      <alignment horizontal="left" vertical="top" wrapText="1" indent="1"/>
    </xf>
    <xf numFmtId="0" fontId="0" fillId="0" borderId="0" xfId="0" applyNumberFormat="1" applyFont="1" applyAlignment="1">
      <alignment horizontal="left" vertical="top" wrapText="1" indent="2"/>
    </xf>
    <xf numFmtId="0" fontId="0" fillId="0" borderId="0" xfId="0" applyProtection="1">
      <protection hidden="1"/>
    </xf>
    <xf numFmtId="3" fontId="0" fillId="0" borderId="0" xfId="0" applyNumberFormat="1" applyFont="1" applyAlignment="1" applyProtection="1">
      <alignment vertical="top"/>
      <protection hidden="1"/>
    </xf>
    <xf numFmtId="0" fontId="0" fillId="0" borderId="0" xfId="0" applyNumberFormat="1" applyFont="1" applyAlignment="1" applyProtection="1">
      <alignment vertical="top" wrapText="1"/>
      <protection hidden="1"/>
    </xf>
    <xf numFmtId="49" fontId="0" fillId="0" borderId="0" xfId="0" applyNumberFormat="1" applyProtection="1">
      <protection hidden="1"/>
    </xf>
    <xf numFmtId="3" fontId="0" fillId="0" borderId="0" xfId="0" applyNumberFormat="1" applyFont="1" applyFill="1" applyAlignment="1" applyProtection="1">
      <alignment vertical="top"/>
      <protection hidden="1"/>
    </xf>
    <xf numFmtId="0" fontId="0" fillId="0" borderId="0" xfId="0" applyFill="1" applyProtection="1">
      <protection hidden="1"/>
    </xf>
    <xf numFmtId="3" fontId="0" fillId="0" borderId="0" xfId="0" applyNumberFormat="1" applyProtection="1">
      <protection hidden="1"/>
    </xf>
    <xf numFmtId="0" fontId="0" fillId="0" borderId="0" xfId="0" applyNumberFormat="1" applyFont="1" applyAlignment="1" applyProtection="1">
      <alignment vertical="top"/>
      <protection hidden="1"/>
    </xf>
    <xf numFmtId="3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/>
    </xf>
    <xf numFmtId="0" fontId="5" fillId="2" borderId="0" xfId="0" applyNumberFormat="1" applyFont="1" applyFill="1" applyAlignment="1">
      <alignment vertical="top" wrapText="1"/>
    </xf>
    <xf numFmtId="0" fontId="5" fillId="2" borderId="0" xfId="0" applyNumberFormat="1" applyFont="1" applyFill="1" applyAlignment="1">
      <alignment horizontal="center"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9" fontId="0" fillId="3" borderId="0" xfId="2" applyFont="1" applyFill="1" applyBorder="1" applyAlignment="1" applyProtection="1">
      <alignment vertical="top"/>
      <protection hidden="1"/>
    </xf>
    <xf numFmtId="3" fontId="0" fillId="3" borderId="0" xfId="0" applyNumberFormat="1" applyFont="1" applyFill="1" applyBorder="1" applyAlignment="1" applyProtection="1">
      <alignment horizontal="left" vertical="top"/>
      <protection hidden="1"/>
    </xf>
    <xf numFmtId="3" fontId="0" fillId="3" borderId="0" xfId="0" applyNumberFormat="1" applyFont="1" applyFill="1" applyBorder="1" applyAlignment="1" applyProtection="1">
      <alignment vertical="top"/>
      <protection hidden="1"/>
    </xf>
    <xf numFmtId="0" fontId="6" fillId="2" borderId="1" xfId="0" applyNumberFormat="1" applyFont="1" applyFill="1" applyBorder="1" applyAlignment="1" applyProtection="1">
      <alignment horizontal="center" vertical="top"/>
      <protection hidden="1"/>
    </xf>
    <xf numFmtId="3" fontId="6" fillId="2" borderId="1" xfId="0" applyNumberFormat="1" applyFont="1" applyFill="1" applyBorder="1" applyAlignment="1" applyProtection="1">
      <alignment vertical="top"/>
      <protection hidden="1"/>
    </xf>
    <xf numFmtId="3" fontId="7" fillId="3" borderId="0" xfId="0" applyNumberFormat="1" applyFont="1" applyFill="1" applyBorder="1" applyAlignment="1" applyProtection="1">
      <alignment vertical="top"/>
      <protection hidden="1"/>
    </xf>
    <xf numFmtId="3" fontId="0" fillId="0" borderId="2" xfId="0" applyNumberFormat="1" applyFont="1" applyBorder="1" applyAlignment="1" applyProtection="1">
      <alignment vertical="top"/>
      <protection hidden="1"/>
    </xf>
    <xf numFmtId="4" fontId="0" fillId="0" borderId="3" xfId="1" applyNumberFormat="1" applyFont="1" applyBorder="1" applyAlignment="1" applyProtection="1">
      <alignment horizontal="center" vertical="top"/>
      <protection hidden="1"/>
    </xf>
    <xf numFmtId="4" fontId="0" fillId="3" borderId="4" xfId="1" applyNumberFormat="1" applyFont="1" applyFill="1" applyBorder="1" applyAlignment="1" applyProtection="1">
      <alignment horizontal="center" vertical="top"/>
      <protection hidden="1"/>
    </xf>
    <xf numFmtId="3" fontId="0" fillId="0" borderId="5" xfId="0" applyNumberFormat="1" applyFont="1" applyBorder="1" applyAlignment="1" applyProtection="1">
      <alignment vertical="top"/>
      <protection hidden="1"/>
    </xf>
    <xf numFmtId="4" fontId="0" fillId="0" borderId="6" xfId="1" applyNumberFormat="1" applyFont="1" applyBorder="1" applyAlignment="1" applyProtection="1">
      <alignment horizontal="center" vertical="top"/>
      <protection hidden="1"/>
    </xf>
    <xf numFmtId="4" fontId="0" fillId="3" borderId="7" xfId="1" applyNumberFormat="1" applyFont="1" applyFill="1" applyBorder="1" applyAlignment="1" applyProtection="1">
      <alignment horizontal="center" vertical="top"/>
      <protection hidden="1"/>
    </xf>
    <xf numFmtId="3" fontId="0" fillId="0" borderId="8" xfId="0" applyNumberFormat="1" applyFont="1" applyBorder="1" applyAlignment="1" applyProtection="1">
      <alignment vertical="top"/>
      <protection hidden="1"/>
    </xf>
    <xf numFmtId="4" fontId="0" fillId="0" borderId="9" xfId="1" applyNumberFormat="1" applyFont="1" applyBorder="1" applyAlignment="1" applyProtection="1">
      <alignment horizontal="center" vertical="top"/>
      <protection hidden="1"/>
    </xf>
    <xf numFmtId="4" fontId="0" fillId="3" borderId="10" xfId="1" applyNumberFormat="1" applyFont="1" applyFill="1" applyBorder="1" applyAlignment="1" applyProtection="1">
      <alignment horizontal="center" vertical="top"/>
      <protection hidden="1"/>
    </xf>
    <xf numFmtId="164" fontId="0" fillId="0" borderId="3" xfId="2" applyNumberFormat="1" applyFont="1" applyBorder="1" applyAlignment="1" applyProtection="1">
      <alignment horizontal="center" vertical="top"/>
      <protection hidden="1"/>
    </xf>
    <xf numFmtId="164" fontId="0" fillId="3" borderId="4" xfId="2" applyNumberFormat="1" applyFont="1" applyFill="1" applyBorder="1" applyAlignment="1" applyProtection="1">
      <alignment horizontal="center" vertical="top"/>
      <protection hidden="1"/>
    </xf>
    <xf numFmtId="164" fontId="0" fillId="0" borderId="6" xfId="2" applyNumberFormat="1" applyFont="1" applyBorder="1" applyAlignment="1" applyProtection="1">
      <alignment horizontal="center" vertical="top"/>
      <protection hidden="1"/>
    </xf>
    <xf numFmtId="164" fontId="0" fillId="3" borderId="7" xfId="2" applyNumberFormat="1" applyFont="1" applyFill="1" applyBorder="1" applyAlignment="1" applyProtection="1">
      <alignment horizontal="center" vertical="top"/>
      <protection hidden="1"/>
    </xf>
    <xf numFmtId="165" fontId="0" fillId="0" borderId="6" xfId="1" applyNumberFormat="1" applyFont="1" applyBorder="1" applyAlignment="1" applyProtection="1">
      <alignment horizontal="center" vertical="top"/>
      <protection hidden="1"/>
    </xf>
    <xf numFmtId="165" fontId="0" fillId="3" borderId="7" xfId="1" applyNumberFormat="1" applyFont="1" applyFill="1" applyBorder="1" applyAlignment="1" applyProtection="1">
      <alignment horizontal="center" vertical="top"/>
      <protection hidden="1"/>
    </xf>
    <xf numFmtId="165" fontId="0" fillId="0" borderId="9" xfId="2" applyNumberFormat="1" applyFont="1" applyBorder="1" applyAlignment="1" applyProtection="1">
      <alignment horizontal="center" vertical="top"/>
      <protection hidden="1"/>
    </xf>
    <xf numFmtId="165" fontId="0" fillId="3" borderId="10" xfId="1" applyNumberFormat="1" applyFont="1" applyFill="1" applyBorder="1" applyAlignment="1" applyProtection="1">
      <alignment horizontal="center" vertical="top"/>
      <protection hidden="1"/>
    </xf>
    <xf numFmtId="3" fontId="0" fillId="0" borderId="3" xfId="0" applyNumberFormat="1" applyFont="1" applyBorder="1" applyAlignment="1" applyProtection="1">
      <alignment horizontal="center" vertical="top"/>
      <protection hidden="1"/>
    </xf>
    <xf numFmtId="3" fontId="0" fillId="3" borderId="4" xfId="0" applyNumberFormat="1" applyFont="1" applyFill="1" applyBorder="1" applyAlignment="1" applyProtection="1">
      <alignment horizontal="center" vertical="top"/>
      <protection hidden="1"/>
    </xf>
    <xf numFmtId="3" fontId="0" fillId="0" borderId="6" xfId="0" applyNumberFormat="1" applyFont="1" applyBorder="1" applyAlignment="1" applyProtection="1">
      <alignment horizontal="center" vertical="top"/>
      <protection hidden="1"/>
    </xf>
    <xf numFmtId="3" fontId="0" fillId="3" borderId="7" xfId="0" applyNumberFormat="1" applyFont="1" applyFill="1" applyBorder="1" applyAlignment="1" applyProtection="1">
      <alignment horizontal="center" vertical="top"/>
      <protection hidden="1"/>
    </xf>
    <xf numFmtId="3" fontId="0" fillId="0" borderId="9" xfId="0" applyNumberFormat="1" applyFont="1" applyBorder="1" applyAlignment="1" applyProtection="1">
      <alignment horizontal="center" vertical="top"/>
      <protection hidden="1"/>
    </xf>
    <xf numFmtId="3" fontId="0" fillId="3" borderId="10" xfId="0" applyNumberFormat="1" applyFont="1" applyFill="1" applyBorder="1" applyAlignment="1" applyProtection="1">
      <alignment horizontal="center" vertical="top"/>
      <protection hidden="1"/>
    </xf>
    <xf numFmtId="0" fontId="6" fillId="2" borderId="0" xfId="0" applyNumberFormat="1" applyFont="1" applyFill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/>
    </xf>
    <xf numFmtId="3" fontId="0" fillId="0" borderId="0" xfId="0" applyNumberFormat="1" applyFont="1" applyAlignment="1">
      <alignment vertical="top"/>
    </xf>
    <xf numFmtId="0" fontId="6" fillId="2" borderId="0" xfId="0" applyNumberFormat="1" applyFont="1" applyFill="1" applyAlignment="1">
      <alignment horizontal="center" vertical="top" wrapText="1"/>
    </xf>
    <xf numFmtId="9" fontId="0" fillId="0" borderId="0" xfId="2" applyFont="1" applyAlignment="1">
      <alignment vertical="top"/>
    </xf>
    <xf numFmtId="4" fontId="0" fillId="0" borderId="3" xfId="1" applyNumberFormat="1" applyFont="1" applyFill="1" applyBorder="1" applyAlignment="1" applyProtection="1">
      <alignment horizontal="center" vertical="top"/>
      <protection hidden="1"/>
    </xf>
    <xf numFmtId="4" fontId="0" fillId="0" borderId="6" xfId="1" applyNumberFormat="1" applyFont="1" applyFill="1" applyBorder="1" applyAlignment="1" applyProtection="1">
      <alignment horizontal="center" vertical="top"/>
      <protection hidden="1"/>
    </xf>
    <xf numFmtId="4" fontId="0" fillId="0" borderId="9" xfId="1" applyNumberFormat="1" applyFont="1" applyFill="1" applyBorder="1" applyAlignment="1" applyProtection="1">
      <alignment horizontal="center" vertical="top"/>
      <protection hidden="1"/>
    </xf>
    <xf numFmtId="164" fontId="0" fillId="0" borderId="3" xfId="2" applyNumberFormat="1" applyFont="1" applyFill="1" applyBorder="1" applyAlignment="1" applyProtection="1">
      <alignment horizontal="center" vertical="top"/>
      <protection hidden="1"/>
    </xf>
    <xf numFmtId="164" fontId="0" fillId="0" borderId="6" xfId="2" applyNumberFormat="1" applyFont="1" applyFill="1" applyBorder="1" applyAlignment="1" applyProtection="1">
      <alignment horizontal="center" vertical="top"/>
      <protection hidden="1"/>
    </xf>
    <xf numFmtId="165" fontId="0" fillId="0" borderId="6" xfId="1" applyNumberFormat="1" applyFont="1" applyFill="1" applyBorder="1" applyAlignment="1" applyProtection="1">
      <alignment horizontal="center" vertical="top"/>
      <protection hidden="1"/>
    </xf>
    <xf numFmtId="165" fontId="0" fillId="0" borderId="9" xfId="2" applyNumberFormat="1" applyFont="1" applyFill="1" applyBorder="1" applyAlignment="1" applyProtection="1">
      <alignment horizontal="center" vertical="top"/>
      <protection hidden="1"/>
    </xf>
    <xf numFmtId="3" fontId="0" fillId="0" borderId="3" xfId="0" applyNumberFormat="1" applyFont="1" applyFill="1" applyBorder="1" applyAlignment="1" applyProtection="1">
      <alignment horizontal="center" vertical="top"/>
      <protection hidden="1"/>
    </xf>
    <xf numFmtId="3" fontId="0" fillId="0" borderId="6" xfId="0" applyNumberFormat="1" applyFont="1" applyFill="1" applyBorder="1" applyAlignment="1" applyProtection="1">
      <alignment horizontal="center" vertical="top"/>
      <protection hidden="1"/>
    </xf>
    <xf numFmtId="3" fontId="0" fillId="0" borderId="9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center" vertical="top"/>
    </xf>
    <xf numFmtId="0" fontId="0" fillId="0" borderId="0" xfId="0" applyNumberFormat="1" applyFont="1" applyFill="1" applyAlignment="1">
      <alignment horizontal="left" vertical="top" wrapText="1" indent="1"/>
    </xf>
    <xf numFmtId="0" fontId="0" fillId="0" borderId="0" xfId="0" applyNumberFormat="1" applyFont="1" applyFill="1" applyAlignment="1">
      <alignment horizontal="center" vertical="top" wrapText="1"/>
    </xf>
    <xf numFmtId="9" fontId="0" fillId="0" borderId="0" xfId="2" applyFont="1" applyFill="1" applyAlignment="1">
      <alignment vertical="top"/>
    </xf>
    <xf numFmtId="49" fontId="6" fillId="2" borderId="11" xfId="0" applyNumberFormat="1" applyFont="1" applyFill="1" applyBorder="1" applyProtection="1">
      <protection hidden="1"/>
    </xf>
    <xf numFmtId="0" fontId="6" fillId="2" borderId="11" xfId="0" applyFont="1" applyFill="1" applyBorder="1" applyProtection="1">
      <protection hidden="1"/>
    </xf>
    <xf numFmtId="0" fontId="0" fillId="0" borderId="11" xfId="0" applyBorder="1" applyProtection="1">
      <protection hidden="1"/>
    </xf>
    <xf numFmtId="49" fontId="7" fillId="3" borderId="11" xfId="0" applyNumberFormat="1" applyFont="1" applyFill="1" applyBorder="1" applyAlignment="1" applyProtection="1">
      <alignment vertical="top" wrapText="1"/>
      <protection hidden="1"/>
    </xf>
    <xf numFmtId="0" fontId="7" fillId="3" borderId="11" xfId="0" applyNumberFormat="1" applyFont="1" applyFill="1" applyBorder="1" applyAlignment="1" applyProtection="1">
      <alignment vertical="top" wrapText="1"/>
      <protection hidden="1"/>
    </xf>
    <xf numFmtId="0" fontId="7" fillId="3" borderId="11" xfId="0" applyFont="1" applyFill="1" applyBorder="1" applyAlignment="1" applyProtection="1">
      <alignment horizontal="center"/>
      <protection hidden="1"/>
    </xf>
    <xf numFmtId="0" fontId="7" fillId="3" borderId="11" xfId="0" applyFont="1" applyFill="1" applyBorder="1" applyAlignment="1" applyProtection="1">
      <alignment horizontal="right"/>
      <protection hidden="1"/>
    </xf>
    <xf numFmtId="49" fontId="8" fillId="3" borderId="11" xfId="0" applyNumberFormat="1" applyFont="1" applyFill="1" applyBorder="1" applyAlignment="1" applyProtection="1">
      <alignment vertical="top" wrapText="1"/>
      <protection hidden="1"/>
    </xf>
    <xf numFmtId="0" fontId="7" fillId="3" borderId="11" xfId="0" applyNumberFormat="1" applyFont="1" applyFill="1" applyBorder="1" applyAlignment="1" applyProtection="1">
      <alignment horizontal="left" vertical="top" wrapText="1" indent="1"/>
      <protection hidden="1"/>
    </xf>
    <xf numFmtId="3" fontId="8" fillId="3" borderId="11" xfId="0" applyNumberFormat="1" applyFont="1" applyFill="1" applyBorder="1" applyProtection="1">
      <protection hidden="1"/>
    </xf>
    <xf numFmtId="9" fontId="8" fillId="3" borderId="11" xfId="2" applyFont="1" applyFill="1" applyBorder="1" applyAlignment="1" applyProtection="1">
      <alignment vertical="top" wrapText="1"/>
      <protection hidden="1"/>
    </xf>
    <xf numFmtId="49" fontId="2" fillId="0" borderId="11" xfId="0" applyNumberFormat="1" applyFont="1" applyBorder="1" applyAlignment="1" applyProtection="1">
      <alignment vertical="top"/>
      <protection hidden="1"/>
    </xf>
    <xf numFmtId="0" fontId="2" fillId="0" borderId="11" xfId="0" applyNumberFormat="1" applyFont="1" applyBorder="1" applyAlignment="1" applyProtection="1">
      <alignment horizontal="left" vertical="top" wrapText="1" indent="1"/>
      <protection hidden="1"/>
    </xf>
    <xf numFmtId="9" fontId="2" fillId="0" borderId="11" xfId="2" applyFont="1" applyBorder="1" applyProtection="1">
      <protection hidden="1"/>
    </xf>
    <xf numFmtId="49" fontId="0" fillId="0" borderId="11" xfId="0" applyNumberFormat="1" applyFont="1" applyBorder="1" applyAlignment="1" applyProtection="1">
      <alignment vertical="top"/>
      <protection hidden="1"/>
    </xf>
    <xf numFmtId="0" fontId="0" fillId="0" borderId="11" xfId="0" applyNumberFormat="1" applyFont="1" applyBorder="1" applyAlignment="1" applyProtection="1">
      <alignment vertical="top" wrapText="1"/>
      <protection hidden="1"/>
    </xf>
    <xf numFmtId="3" fontId="0" fillId="0" borderId="11" xfId="0" applyNumberFormat="1" applyBorder="1" applyProtection="1">
      <protection hidden="1"/>
    </xf>
    <xf numFmtId="9" fontId="0" fillId="0" borderId="11" xfId="2" applyFont="1" applyBorder="1" applyProtection="1">
      <protection hidden="1"/>
    </xf>
    <xf numFmtId="49" fontId="0" fillId="0" borderId="11" xfId="0" applyNumberFormat="1" applyFont="1" applyBorder="1" applyAlignment="1" applyProtection="1">
      <alignment vertical="top" wrapText="1"/>
      <protection hidden="1"/>
    </xf>
    <xf numFmtId="0" fontId="0" fillId="0" borderId="11" xfId="0" applyNumberFormat="1" applyFont="1" applyBorder="1" applyAlignment="1" applyProtection="1">
      <alignment horizontal="left" vertical="top" wrapText="1" indent="1"/>
      <protection hidden="1"/>
    </xf>
    <xf numFmtId="49" fontId="0" fillId="0" borderId="11" xfId="0" applyNumberFormat="1" applyBorder="1" applyProtection="1">
      <protection hidden="1"/>
    </xf>
    <xf numFmtId="9" fontId="8" fillId="3" borderId="11" xfId="2" applyFont="1" applyFill="1" applyBorder="1" applyProtection="1">
      <protection hidden="1"/>
    </xf>
    <xf numFmtId="49" fontId="0" fillId="0" borderId="11" xfId="0" applyNumberFormat="1" applyFill="1" applyBorder="1" applyProtection="1">
      <protection hidden="1"/>
    </xf>
    <xf numFmtId="0" fontId="0" fillId="0" borderId="11" xfId="0" applyFill="1" applyBorder="1" applyProtection="1">
      <protection hidden="1"/>
    </xf>
    <xf numFmtId="3" fontId="2" fillId="0" borderId="11" xfId="0" applyNumberFormat="1" applyFont="1" applyBorder="1" applyProtection="1">
      <protection hidden="1"/>
    </xf>
    <xf numFmtId="49" fontId="3" fillId="0" borderId="11" xfId="0" applyNumberFormat="1" applyFont="1" applyBorder="1" applyAlignment="1" applyProtection="1">
      <alignment vertical="top"/>
      <protection hidden="1"/>
    </xf>
    <xf numFmtId="0" fontId="3" fillId="0" borderId="11" xfId="0" applyNumberFormat="1" applyFont="1" applyBorder="1" applyAlignment="1" applyProtection="1">
      <alignment horizontal="left" vertical="top" wrapText="1" indent="1"/>
      <protection hidden="1"/>
    </xf>
    <xf numFmtId="0" fontId="8" fillId="3" borderId="11" xfId="0" applyNumberFormat="1" applyFont="1" applyFill="1" applyBorder="1" applyAlignment="1" applyProtection="1">
      <alignment horizontal="left" vertical="top" wrapText="1" indent="1"/>
      <protection hidden="1"/>
    </xf>
    <xf numFmtId="49" fontId="4" fillId="0" borderId="11" xfId="0" applyNumberFormat="1" applyFont="1" applyBorder="1" applyProtection="1">
      <protection hidden="1"/>
    </xf>
    <xf numFmtId="0" fontId="4" fillId="0" borderId="11" xfId="0" applyNumberFormat="1" applyFont="1" applyBorder="1" applyAlignment="1" applyProtection="1">
      <alignment horizontal="left" vertical="top" wrapText="1" indent="1"/>
      <protection hidden="1"/>
    </xf>
    <xf numFmtId="3" fontId="4" fillId="0" borderId="11" xfId="0" applyNumberFormat="1" applyFont="1" applyBorder="1" applyProtection="1">
      <protection hidden="1"/>
    </xf>
    <xf numFmtId="9" fontId="4" fillId="0" borderId="11" xfId="2" applyFont="1" applyBorder="1" applyProtection="1">
      <protection hidden="1"/>
    </xf>
    <xf numFmtId="49" fontId="2" fillId="0" borderId="11" xfId="0" applyNumberFormat="1" applyFont="1" applyBorder="1" applyProtection="1">
      <protection hidden="1"/>
    </xf>
    <xf numFmtId="3" fontId="7" fillId="3" borderId="11" xfId="0" applyNumberFormat="1" applyFont="1" applyFill="1" applyBorder="1" applyAlignment="1">
      <alignment vertical="top"/>
    </xf>
    <xf numFmtId="3" fontId="7" fillId="3" borderId="11" xfId="0" applyNumberFormat="1" applyFont="1" applyFill="1" applyBorder="1" applyAlignment="1">
      <alignment horizontal="center" vertical="top"/>
    </xf>
    <xf numFmtId="0" fontId="0" fillId="0" borderId="11" xfId="0" applyNumberFormat="1" applyFont="1" applyBorder="1" applyAlignment="1">
      <alignment vertical="top" wrapText="1"/>
    </xf>
    <xf numFmtId="0" fontId="0" fillId="0" borderId="11" xfId="0" applyNumberFormat="1" applyFont="1" applyBorder="1" applyAlignment="1">
      <alignment horizontal="center" vertical="top"/>
    </xf>
    <xf numFmtId="3" fontId="0" fillId="0" borderId="11" xfId="0" applyNumberFormat="1" applyFont="1" applyBorder="1" applyAlignment="1">
      <alignment vertical="top"/>
    </xf>
    <xf numFmtId="0" fontId="0" fillId="0" borderId="11" xfId="0" applyNumberFormat="1" applyFont="1" applyBorder="1" applyAlignment="1">
      <alignment horizontal="left" vertical="top" wrapText="1" indent="1"/>
    </xf>
    <xf numFmtId="0" fontId="0" fillId="0" borderId="11" xfId="0" applyNumberFormat="1" applyFont="1" applyBorder="1" applyAlignment="1">
      <alignment horizontal="center" vertical="top" wrapText="1"/>
    </xf>
    <xf numFmtId="3" fontId="10" fillId="0" borderId="11" xfId="0" applyNumberFormat="1" applyFont="1" applyBorder="1" applyAlignment="1">
      <alignment vertical="top"/>
    </xf>
    <xf numFmtId="0" fontId="6" fillId="2" borderId="11" xfId="0" applyNumberFormat="1" applyFont="1" applyFill="1" applyBorder="1" applyAlignment="1">
      <alignment horizontal="center" vertical="top" wrapText="1"/>
    </xf>
    <xf numFmtId="0" fontId="5" fillId="2" borderId="11" xfId="0" applyNumberFormat="1" applyFont="1" applyFill="1" applyBorder="1" applyAlignment="1">
      <alignment horizontal="center" vertical="top" wrapText="1"/>
    </xf>
    <xf numFmtId="9" fontId="0" fillId="0" borderId="11" xfId="2" applyFont="1" applyBorder="1" applyAlignment="1">
      <alignment vertical="top"/>
    </xf>
    <xf numFmtId="0" fontId="6" fillId="2" borderId="1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3" fontId="7" fillId="3" borderId="0" xfId="0" applyNumberFormat="1" applyFont="1" applyFill="1" applyBorder="1" applyAlignment="1" applyProtection="1">
      <alignment vertical="top"/>
      <protection locked="0"/>
    </xf>
    <xf numFmtId="0" fontId="0" fillId="0" borderId="0" xfId="0" applyNumberFormat="1" applyFont="1" applyFill="1" applyAlignment="1">
      <alignment vertical="top"/>
    </xf>
    <xf numFmtId="3" fontId="0" fillId="0" borderId="0" xfId="0" applyNumberFormat="1" applyFont="1" applyFill="1" applyAlignment="1">
      <alignment vertical="top"/>
    </xf>
    <xf numFmtId="0" fontId="0" fillId="0" borderId="0" xfId="0" applyNumberFormat="1" applyFont="1" applyAlignment="1">
      <alignment vertical="top"/>
    </xf>
    <xf numFmtId="3" fontId="0" fillId="0" borderId="0" xfId="0" applyNumberFormat="1" applyFont="1" applyAlignment="1">
      <alignment vertical="top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>
      <alignment vertical="top"/>
    </xf>
    <xf numFmtId="3" fontId="0" fillId="0" borderId="0" xfId="0" applyNumberFormat="1" applyFont="1" applyFill="1" applyAlignment="1">
      <alignment vertical="top"/>
    </xf>
    <xf numFmtId="0" fontId="11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/>
    </xf>
    <xf numFmtId="3" fontId="0" fillId="0" borderId="0" xfId="0" applyNumberFormat="1" applyFont="1" applyAlignment="1">
      <alignment vertical="top"/>
    </xf>
    <xf numFmtId="0" fontId="9" fillId="0" borderId="0" xfId="0" applyNumberFormat="1" applyFont="1" applyFill="1" applyAlignment="1">
      <alignment vertical="top" wrapText="1"/>
    </xf>
    <xf numFmtId="0" fontId="9" fillId="0" borderId="0" xfId="0" applyNumberFormat="1" applyFont="1" applyFill="1" applyAlignment="1">
      <alignment horizontal="center" vertical="top" wrapText="1"/>
    </xf>
    <xf numFmtId="0" fontId="0" fillId="0" borderId="0" xfId="0" applyFont="1"/>
    <xf numFmtId="3" fontId="9" fillId="0" borderId="0" xfId="0" applyNumberFormat="1" applyFont="1" applyFill="1" applyAlignment="1">
      <alignment vertical="top"/>
    </xf>
    <xf numFmtId="3" fontId="9" fillId="0" borderId="0" xfId="0" applyNumberFormat="1" applyFont="1" applyFill="1" applyAlignment="1">
      <alignment horizontal="center" vertical="top"/>
    </xf>
    <xf numFmtId="0" fontId="0" fillId="0" borderId="0" xfId="0" applyNumberFormat="1" applyFont="1" applyFill="1" applyAlignment="1">
      <alignment vertical="top" wrapText="1"/>
    </xf>
    <xf numFmtId="0" fontId="0" fillId="0" borderId="11" xfId="0" quotePrefix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1A4769"/>
      <color rgb="FFFF1037"/>
      <color rgb="FFCCDBDE"/>
      <color rgb="FF00AFEC"/>
      <color rgb="FFE6EB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Анализ активов и обязательств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'Прогноз (отчетность)'!$C$30</c:f>
              <c:strCache>
                <c:ptCount val="1"/>
                <c:pt idx="0">
                  <c:v>Дебиторская задолженность</c:v>
                </c:pt>
              </c:strCache>
            </c:strRef>
          </c:tx>
          <c:spPr>
            <a:ln w="28575" cap="rnd">
              <a:solidFill>
                <a:srgbClr val="00AFE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AFEC"/>
              </a:solidFill>
              <a:ln w="9525">
                <a:noFill/>
              </a:ln>
              <a:effectLst/>
            </c:spPr>
          </c:marker>
          <c:cat>
            <c:strRef>
              <c:f>'Прогноз (отчетность)'!$E$12:$H$12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'Прогноз (отчетность)'!$E$30:$H$30</c:f>
              <c:numCache>
                <c:formatCode>#,##0</c:formatCode>
                <c:ptCount val="3"/>
                <c:pt idx="0">
                  <c:v>695340</c:v>
                </c:pt>
                <c:pt idx="1">
                  <c:v>796373</c:v>
                </c:pt>
                <c:pt idx="2">
                  <c:v>796373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E-45B5-9C83-7CE78B35DCF6}"/>
            </c:ext>
          </c:extLst>
        </c:ser>
        <c:ser>
          <c:idx val="1"/>
          <c:order val="1"/>
          <c:tx>
            <c:strRef>
              <c:f>'Прогноз (отчетность)'!$C$51</c:f>
              <c:strCache>
                <c:ptCount val="1"/>
                <c:pt idx="0">
                  <c:v>Кредиторская задолженность</c:v>
                </c:pt>
              </c:strCache>
            </c:strRef>
          </c:tx>
          <c:spPr>
            <a:ln w="28575" cap="rnd">
              <a:solidFill>
                <a:srgbClr val="1A47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A4769"/>
              </a:solidFill>
              <a:ln w="9525">
                <a:noFill/>
              </a:ln>
              <a:effectLst/>
            </c:spPr>
          </c:marker>
          <c:cat>
            <c:strRef>
              <c:f>'Прогноз (отчетность)'!$E$12:$H$12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'Прогноз (отчетность)'!$E$51:$H$51</c:f>
              <c:numCache>
                <c:formatCode>#,##0</c:formatCode>
                <c:ptCount val="3"/>
                <c:pt idx="0">
                  <c:v>1026550</c:v>
                </c:pt>
                <c:pt idx="1">
                  <c:v>793415</c:v>
                </c:pt>
                <c:pt idx="2">
                  <c:v>793415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E-45B5-9C83-7CE78B35DCF6}"/>
            </c:ext>
          </c:extLst>
        </c:ser>
        <c:ser>
          <c:idx val="2"/>
          <c:order val="2"/>
          <c:tx>
            <c:strRef>
              <c:f>'Прогноз (отчетность)'!$C$28</c:f>
              <c:strCache>
                <c:ptCount val="1"/>
                <c:pt idx="0">
                  <c:v>Запасы</c:v>
                </c:pt>
              </c:strCache>
            </c:strRef>
          </c:tx>
          <c:spPr>
            <a:ln w="28575" cap="rnd">
              <a:solidFill>
                <a:srgbClr val="CCDBD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DBDE"/>
              </a:solidFill>
              <a:ln w="9525">
                <a:noFill/>
              </a:ln>
              <a:effectLst/>
            </c:spPr>
          </c:marker>
          <c:cat>
            <c:strRef>
              <c:f>'Прогноз (отчетность)'!$E$12:$H$12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'Прогноз (отчетность)'!$E$28:$H$28</c:f>
              <c:numCache>
                <c:formatCode>#,##0</c:formatCode>
                <c:ptCount val="3"/>
                <c:pt idx="0">
                  <c:v>2825074</c:v>
                </c:pt>
                <c:pt idx="1">
                  <c:v>3012931</c:v>
                </c:pt>
                <c:pt idx="2">
                  <c:v>3012931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CE-45B5-9C83-7CE78B35DCF6}"/>
            </c:ext>
          </c:extLst>
        </c:ser>
        <c:ser>
          <c:idx val="3"/>
          <c:order val="3"/>
          <c:tx>
            <c:strRef>
              <c:f>'Прогноз (отчетность)'!$C$56</c:f>
              <c:strCache>
                <c:ptCount val="1"/>
                <c:pt idx="0">
                  <c:v>Итого заемные средства</c:v>
                </c:pt>
              </c:strCache>
            </c:strRef>
          </c:tx>
          <c:spPr>
            <a:ln w="28575" cap="rnd">
              <a:solidFill>
                <a:srgbClr val="FF103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1037"/>
              </a:solidFill>
              <a:ln w="9525">
                <a:noFill/>
              </a:ln>
              <a:effectLst/>
            </c:spPr>
          </c:marker>
          <c:cat>
            <c:strRef>
              <c:f>'Прогноз (отчетность)'!$E$12:$H$12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'Прогноз (отчетность)'!$E$56:$H$56</c:f>
              <c:numCache>
                <c:formatCode>#,##0</c:formatCode>
                <c:ptCount val="3"/>
                <c:pt idx="0">
                  <c:v>223500</c:v>
                </c:pt>
                <c:pt idx="1">
                  <c:v>652935</c:v>
                </c:pt>
                <c:pt idx="2">
                  <c:v>652935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CE-45B5-9C83-7CE78B35D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37512"/>
        <c:axId val="120735160"/>
      </c:lineChart>
      <c:catAx>
        <c:axId val="12073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35160"/>
        <c:crosses val="autoZero"/>
        <c:auto val="1"/>
        <c:lblAlgn val="ctr"/>
        <c:lblOffset val="100"/>
        <c:noMultiLvlLbl val="0"/>
      </c:catAx>
      <c:valAx>
        <c:axId val="12073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тыс. руб.</a:t>
                </a:r>
              </a:p>
            </c:rich>
          </c:tx>
          <c:layout>
            <c:manualLayout>
              <c:xMode val="edge"/>
              <c:yMode val="edge"/>
              <c:x val="1.6175618085105221E-2"/>
              <c:y val="0.316708478300677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37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Структура активов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'Прогноз (отчетность)'!$C$15</c:f>
              <c:strCache>
                <c:ptCount val="1"/>
                <c:pt idx="0">
                  <c:v>Внеоборотные активы</c:v>
                </c:pt>
              </c:strCache>
            </c:strRef>
          </c:tx>
          <c:spPr>
            <a:ln w="28575" cap="rnd">
              <a:solidFill>
                <a:srgbClr val="00AFE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AFEC"/>
              </a:solidFill>
              <a:ln w="9525">
                <a:noFill/>
              </a:ln>
              <a:effectLst/>
            </c:spPr>
          </c:marker>
          <c:cat>
            <c:strRef>
              <c:f>'Прогноз (отчетность)'!$E$12:$H$12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'Прогноз (отчетность)'!$E$25:$H$25</c:f>
              <c:numCache>
                <c:formatCode>#,##0</c:formatCode>
                <c:ptCount val="3"/>
                <c:pt idx="0">
                  <c:v>1013965</c:v>
                </c:pt>
                <c:pt idx="1">
                  <c:v>957567</c:v>
                </c:pt>
                <c:pt idx="2">
                  <c:v>1157567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E-4CA7-AFF9-35EB0227CA63}"/>
            </c:ext>
          </c:extLst>
        </c:ser>
        <c:ser>
          <c:idx val="1"/>
          <c:order val="1"/>
          <c:tx>
            <c:strRef>
              <c:f>'Прогноз (отчетность)'!$C$27</c:f>
              <c:strCache>
                <c:ptCount val="1"/>
                <c:pt idx="0">
                  <c:v>Оборотные активы</c:v>
                </c:pt>
              </c:strCache>
            </c:strRef>
          </c:tx>
          <c:spPr>
            <a:ln w="28575" cap="rnd">
              <a:solidFill>
                <a:srgbClr val="FF103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1037"/>
              </a:solidFill>
              <a:ln w="9525">
                <a:noFill/>
              </a:ln>
              <a:effectLst/>
            </c:spPr>
          </c:marker>
          <c:cat>
            <c:strRef>
              <c:f>'Прогноз (отчетность)'!$E$12:$H$12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'Прогноз (отчетность)'!$E$34:$H$34</c:f>
              <c:numCache>
                <c:formatCode>#,##0</c:formatCode>
                <c:ptCount val="3"/>
                <c:pt idx="0">
                  <c:v>3618722</c:v>
                </c:pt>
                <c:pt idx="1">
                  <c:v>3877421</c:v>
                </c:pt>
                <c:pt idx="2">
                  <c:v>3877421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E-4CA7-AFF9-35EB0227CA63}"/>
            </c:ext>
          </c:extLst>
        </c:ser>
        <c:ser>
          <c:idx val="2"/>
          <c:order val="2"/>
          <c:tx>
            <c:strRef>
              <c:f>'Прогноз (отчетность)'!$C$35</c:f>
              <c:strCache>
                <c:ptCount val="1"/>
                <c:pt idx="0">
                  <c:v>Капитал и резервы</c:v>
                </c:pt>
              </c:strCache>
            </c:strRef>
          </c:tx>
          <c:spPr>
            <a:ln w="28575" cap="rnd">
              <a:solidFill>
                <a:srgbClr val="CCDBD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DBDE"/>
              </a:solidFill>
              <a:ln w="9525">
                <a:noFill/>
              </a:ln>
              <a:effectLst/>
            </c:spPr>
          </c:marker>
          <c:cat>
            <c:strRef>
              <c:f>'Прогноз (отчетность)'!$E$12:$H$12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'Прогноз (отчетность)'!$E$42:$H$42</c:f>
              <c:numCache>
                <c:formatCode>#,##0</c:formatCode>
                <c:ptCount val="3"/>
                <c:pt idx="0">
                  <c:v>3368386</c:v>
                </c:pt>
                <c:pt idx="1">
                  <c:v>3373772</c:v>
                </c:pt>
                <c:pt idx="2">
                  <c:v>3573772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E-4CA7-AFF9-35EB0227C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42608"/>
        <c:axId val="120735552"/>
      </c:lineChart>
      <c:catAx>
        <c:axId val="12074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35552"/>
        <c:crosses val="autoZero"/>
        <c:auto val="1"/>
        <c:lblAlgn val="ctr"/>
        <c:lblOffset val="100"/>
        <c:noMultiLvlLbl val="0"/>
      </c:catAx>
      <c:valAx>
        <c:axId val="12073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тыс. руб.</a:t>
                </a:r>
              </a:p>
            </c:rich>
          </c:tx>
          <c:layout>
            <c:manualLayout>
              <c:xMode val="edge"/>
              <c:yMode val="edge"/>
              <c:x val="1.6175618085105221E-2"/>
              <c:y val="0.316708478300677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4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 оценочных коэффициентов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'Фин анализ'!$B$21</c:f>
              <c:strCache>
                <c:ptCount val="1"/>
                <c:pt idx="0">
                  <c:v>Рентабельность продаж по EBIT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'Фин анализ'!$D$6:$F$6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'Фин анализ'!$D$21:$F$21</c:f>
              <c:numCache>
                <c:formatCode>0.0%</c:formatCode>
                <c:ptCount val="3"/>
                <c:pt idx="0">
                  <c:v>0.34344990926644664</c:v>
                </c:pt>
                <c:pt idx="1">
                  <c:v>0.26045105949642877</c:v>
                </c:pt>
                <c:pt idx="2">
                  <c:v>0.34351298797844709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6-4480-A335-EF092DF0E7E5}"/>
            </c:ext>
          </c:extLst>
        </c:ser>
        <c:ser>
          <c:idx val="1"/>
          <c:order val="1"/>
          <c:tx>
            <c:strRef>
              <c:f>'Фин анализ'!$B$22</c:f>
              <c:strCache>
                <c:ptCount val="1"/>
                <c:pt idx="0">
                  <c:v>Рентабельность продаж по чистой прибыли</c:v>
                </c:pt>
              </c:strCache>
            </c:strRef>
          </c:tx>
          <c:spPr>
            <a:ln w="28575" cap="rnd">
              <a:solidFill>
                <a:srgbClr val="CCDBD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DBDE"/>
              </a:solidFill>
              <a:ln w="9525">
                <a:noFill/>
              </a:ln>
              <a:effectLst/>
            </c:spPr>
          </c:marker>
          <c:cat>
            <c:strRef>
              <c:f>'Фин анализ'!$D$6:$F$6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'Фин анализ'!$D$22:$F$22</c:f>
              <c:numCache>
                <c:formatCode>0.0%</c:formatCode>
                <c:ptCount val="3"/>
                <c:pt idx="0">
                  <c:v>0.26366250347112347</c:v>
                </c:pt>
                <c:pt idx="1">
                  <c:v>0.18082000397036019</c:v>
                </c:pt>
                <c:pt idx="2">
                  <c:v>0.26388193245237851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26-4480-A335-EF092DF0E7E5}"/>
            </c:ext>
          </c:extLst>
        </c:ser>
        <c:ser>
          <c:idx val="3"/>
          <c:order val="2"/>
          <c:tx>
            <c:strRef>
              <c:f>'Фин анализ'!$B$25</c:f>
              <c:strCache>
                <c:ptCount val="1"/>
                <c:pt idx="0">
                  <c:v>Рентабельность СК (ROE)</c:v>
                </c:pt>
              </c:strCache>
            </c:strRef>
          </c:tx>
          <c:spPr>
            <a:ln w="28575" cap="rnd">
              <a:solidFill>
                <a:srgbClr val="FF103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1037"/>
              </a:solidFill>
              <a:ln w="9525">
                <a:noFill/>
              </a:ln>
              <a:effectLst/>
            </c:spPr>
          </c:marker>
          <c:cat>
            <c:strRef>
              <c:f>'Фин анализ'!$D$6:$F$6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'Фин анализ'!$D$25:$F$25</c:f>
              <c:numCache>
                <c:formatCode>0.0%</c:formatCode>
                <c:ptCount val="3"/>
                <c:pt idx="0">
                  <c:v>0.19393442438010369</c:v>
                </c:pt>
                <c:pt idx="1">
                  <c:v>0.12915330670091091</c:v>
                </c:pt>
                <c:pt idx="2">
                  <c:v>0.18305143731963461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26-4480-A335-EF092DF0E7E5}"/>
            </c:ext>
          </c:extLst>
        </c:ser>
        <c:ser>
          <c:idx val="4"/>
          <c:order val="3"/>
          <c:tx>
            <c:strRef>
              <c:f>'Фин анализ'!$B$26</c:f>
              <c:strCache>
                <c:ptCount val="1"/>
                <c:pt idx="0">
                  <c:v>Рентабельность активов (ROA)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'Фин анализ'!$D$6:$F$6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'Фин анализ'!$D$26:$F$26</c:f>
              <c:numCache>
                <c:formatCode>0.0%</c:formatCode>
                <c:ptCount val="3"/>
                <c:pt idx="0">
                  <c:v>0.14100801543467106</c:v>
                </c:pt>
                <c:pt idx="1">
                  <c:v>9.1973161309402779E-2</c:v>
                </c:pt>
                <c:pt idx="2">
                  <c:v>0.13144546129239967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26-4480-A335-EF092DF0E7E5}"/>
            </c:ext>
          </c:extLst>
        </c:ser>
        <c:ser>
          <c:idx val="5"/>
          <c:order val="4"/>
          <c:tx>
            <c:strRef>
              <c:f>'Фин анализ'!$B$27</c:f>
              <c:strCache>
                <c:ptCount val="1"/>
                <c:pt idx="0">
                  <c:v>Прибыль на задействованный капитал (ROCE)</c:v>
                </c:pt>
              </c:strCache>
            </c:strRef>
          </c:tx>
          <c:spPr>
            <a:ln w="28575" cap="rnd">
              <a:solidFill>
                <a:srgbClr val="1A47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A4769"/>
              </a:solidFill>
              <a:ln w="9525">
                <a:noFill/>
              </a:ln>
              <a:effectLst/>
            </c:spPr>
          </c:marker>
          <c:cat>
            <c:strRef>
              <c:f>'Фин анализ'!$D$6:$F$6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'Фин анализ'!$D$27:$F$27</c:f>
              <c:numCache>
                <c:formatCode>0.0%</c:formatCode>
                <c:ptCount val="3"/>
                <c:pt idx="0">
                  <c:v>0.23690228476070788</c:v>
                </c:pt>
                <c:pt idx="1">
                  <c:v>0.16463013577441399</c:v>
                </c:pt>
                <c:pt idx="2">
                  <c:v>0.2115789887003966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26-4480-A335-EF092DF0E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39080"/>
        <c:axId val="120739864"/>
      </c:lineChart>
      <c:catAx>
        <c:axId val="120739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39864"/>
        <c:crosses val="autoZero"/>
        <c:auto val="1"/>
        <c:lblAlgn val="ctr"/>
        <c:lblOffset val="100"/>
        <c:noMultiLvlLbl val="0"/>
      </c:catAx>
      <c:valAx>
        <c:axId val="120739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739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 оценочных коэффициентов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'Фин анализ'!$B$23</c:f>
              <c:strCache>
                <c:ptCount val="1"/>
                <c:pt idx="0">
                  <c:v>Коэффициент покрытия процентов к уплате</c:v>
                </c:pt>
              </c:strCache>
            </c:strRef>
          </c:tx>
          <c:spPr>
            <a:ln w="28575" cap="rnd">
              <a:solidFill>
                <a:srgbClr val="1A476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A4769"/>
              </a:solidFill>
              <a:ln w="9525">
                <a:noFill/>
              </a:ln>
              <a:effectLst/>
            </c:spPr>
          </c:marker>
          <c:cat>
            <c:strRef>
              <c:f>'Фин анализ'!$D$6:$F$6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'Фин анализ'!$D$23:$F$23</c:f>
              <c:numCache>
                <c:formatCode>#\ ##0.0</c:formatCode>
                <c:ptCount val="3"/>
                <c:pt idx="0">
                  <c:v>19.32122340546309</c:v>
                </c:pt>
                <c:pt idx="1">
                  <c:v>7.1936978790277255</c:v>
                </c:pt>
                <c:pt idx="2">
                  <c:v>9.4878809777808364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57-494B-8C0D-B32C2E800529}"/>
            </c:ext>
          </c:extLst>
        </c:ser>
        <c:ser>
          <c:idx val="5"/>
          <c:order val="1"/>
          <c:tx>
            <c:strRef>
              <c:f>'Фин анализ'!$B$24</c:f>
              <c:strCache>
                <c:ptCount val="1"/>
                <c:pt idx="0">
                  <c:v>Чистый долг к EBIT</c:v>
                </c:pt>
              </c:strCache>
            </c:strRef>
          </c:tx>
          <c:spPr>
            <a:ln w="28575" cap="rnd">
              <a:solidFill>
                <a:srgbClr val="00AFE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AFEC"/>
              </a:solidFill>
              <a:ln w="9525">
                <a:noFill/>
              </a:ln>
              <a:effectLst/>
            </c:spPr>
          </c:marker>
          <c:cat>
            <c:strRef>
              <c:f>'Фин анализ'!$D$6:$F$6</c:f>
              <c:strCache>
                <c:ptCount val="3"/>
                <c:pt idx="0">
                  <c:v>2018</c:v>
                </c:pt>
                <c:pt idx="1">
                  <c:v>2019 (прогноз)</c:v>
                </c:pt>
                <c:pt idx="2">
                  <c:v>Прогноз с НМА</c:v>
                </c:pt>
              </c:strCache>
            </c:strRef>
          </c:cat>
          <c:val>
            <c:numRef>
              <c:f>'Фин анализ'!$D$24:$F$24</c:f>
              <c:numCache>
                <c:formatCode>#\ ##0.0</c:formatCode>
                <c:ptCount val="3"/>
                <c:pt idx="0">
                  <c:v>0.18329208415302858</c:v>
                </c:pt>
                <c:pt idx="1">
                  <c:v>0.94110105640821207</c:v>
                </c:pt>
                <c:pt idx="2">
                  <c:v>0.71354148405621887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57-494B-8C0D-B32C2E800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64568"/>
        <c:axId val="184222464"/>
      </c:lineChart>
      <c:catAx>
        <c:axId val="8476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222464"/>
        <c:crosses val="autoZero"/>
        <c:auto val="1"/>
        <c:lblAlgn val="ctr"/>
        <c:lblOffset val="100"/>
        <c:noMultiLvlLbl val="0"/>
      </c:catAx>
      <c:valAx>
        <c:axId val="18422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76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523809</xdr:colOff>
      <xdr:row>4</xdr:row>
      <xdr:rowOff>114709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80968" cy="77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9524</xdr:rowOff>
    </xdr:from>
    <xdr:to>
      <xdr:col>6</xdr:col>
      <xdr:colOff>8659</xdr:colOff>
      <xdr:row>56</xdr:row>
      <xdr:rowOff>152399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5</xdr:col>
      <xdr:colOff>736023</xdr:colOff>
      <xdr:row>78</xdr:row>
      <xdr:rowOff>47625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79</xdr:row>
      <xdr:rowOff>9524</xdr:rowOff>
    </xdr:from>
    <xdr:to>
      <xdr:col>6</xdr:col>
      <xdr:colOff>536863</xdr:colOff>
      <xdr:row>116</xdr:row>
      <xdr:rowOff>142874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118</xdr:row>
      <xdr:rowOff>0</xdr:rowOff>
    </xdr:from>
    <xdr:to>
      <xdr:col>6</xdr:col>
      <xdr:colOff>458932</xdr:colOff>
      <xdr:row>155</xdr:row>
      <xdr:rowOff>133350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290013</xdr:colOff>
      <xdr:row>4</xdr:row>
      <xdr:rowOff>114709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80968" cy="77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0</xdr:row>
      <xdr:rowOff>0</xdr:rowOff>
    </xdr:from>
    <xdr:to>
      <xdr:col>6</xdr:col>
      <xdr:colOff>393923</xdr:colOff>
      <xdr:row>4</xdr:row>
      <xdr:rowOff>114709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96" y="0"/>
          <a:ext cx="7580968" cy="77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X90"/>
  <sheetViews>
    <sheetView showGridLines="0" showRowColHeaders="0" tabSelected="1" zoomScale="110" zoomScaleNormal="110" workbookViewId="0">
      <selection activeCell="A11" sqref="A11"/>
    </sheetView>
  </sheetViews>
  <sheetFormatPr defaultRowHeight="12.75" x14ac:dyDescent="0.2"/>
  <cols>
    <col min="1" max="1" width="1.42578125" style="3" customWidth="1"/>
    <col min="2" max="2" width="9.140625" style="6"/>
    <col min="3" max="3" width="48.140625" style="3" bestFit="1" customWidth="1"/>
    <col min="4" max="4" width="10.85546875" style="3" hidden="1" customWidth="1"/>
    <col min="5" max="5" width="12.5703125" style="3" hidden="1" customWidth="1"/>
    <col min="6" max="9" width="15.7109375" style="3" customWidth="1"/>
    <col min="10" max="23" width="9.140625" style="3"/>
    <col min="24" max="24" width="14" style="4" customWidth="1"/>
    <col min="25" max="16384" width="9.140625" style="3"/>
  </cols>
  <sheetData>
    <row r="6" spans="2:24" x14ac:dyDescent="0.2">
      <c r="B6" s="114">
        <v>200000</v>
      </c>
      <c r="C6" s="23" t="s">
        <v>108</v>
      </c>
      <c r="F6" s="4"/>
      <c r="G6" s="4"/>
      <c r="H6" s="4"/>
      <c r="I6" s="4"/>
      <c r="X6" s="5"/>
    </row>
    <row r="7" spans="2:24" x14ac:dyDescent="0.2">
      <c r="B7" s="18">
        <f>B6/G63</f>
        <v>8.3061928482018335E-2</v>
      </c>
      <c r="C7" s="19" t="s">
        <v>109</v>
      </c>
      <c r="F7" s="4"/>
      <c r="G7" s="4"/>
      <c r="H7" s="4"/>
      <c r="I7" s="4"/>
      <c r="X7" s="5"/>
    </row>
    <row r="8" spans="2:24" x14ac:dyDescent="0.2">
      <c r="B8" s="18">
        <f>B6/G25</f>
        <v>0.20886266966175734</v>
      </c>
      <c r="C8" s="19" t="s">
        <v>110</v>
      </c>
      <c r="F8" s="4"/>
      <c r="G8" s="4"/>
      <c r="H8" s="4"/>
      <c r="I8" s="4"/>
      <c r="X8" s="5"/>
    </row>
    <row r="9" spans="2:24" x14ac:dyDescent="0.2">
      <c r="B9" s="18">
        <f>B6/G13</f>
        <v>4.1365149199956652E-2</v>
      </c>
      <c r="C9" s="20" t="s">
        <v>111</v>
      </c>
      <c r="F9" s="4"/>
      <c r="G9" s="4"/>
      <c r="H9" s="4"/>
      <c r="I9" s="4"/>
      <c r="X9" s="5"/>
    </row>
    <row r="10" spans="2:24" x14ac:dyDescent="0.2">
      <c r="X10" s="7"/>
    </row>
    <row r="11" spans="2:24" x14ac:dyDescent="0.2">
      <c r="B11" s="68" t="s">
        <v>94</v>
      </c>
      <c r="C11" s="69"/>
      <c r="D11" s="70"/>
      <c r="E11" s="70"/>
      <c r="F11"/>
      <c r="G11"/>
      <c r="H11"/>
      <c r="I11"/>
    </row>
    <row r="12" spans="2:24" x14ac:dyDescent="0.2">
      <c r="B12" s="71" t="s">
        <v>1</v>
      </c>
      <c r="C12" s="72" t="s">
        <v>95</v>
      </c>
      <c r="D12" s="73"/>
      <c r="E12" s="74" t="str">
        <f>Настройки!D7</f>
        <v>(не отображается)</v>
      </c>
      <c r="F12" s="73">
        <f>Настройки!E7</f>
        <v>2018</v>
      </c>
      <c r="G12" s="73" t="str">
        <f>Настройки!F7</f>
        <v>2019 (прогноз)</v>
      </c>
      <c r="H12" s="73" t="str">
        <f>Настройки!G7</f>
        <v>Прогноз с НМА</v>
      </c>
      <c r="I12" s="73" t="s">
        <v>106</v>
      </c>
    </row>
    <row r="13" spans="2:24" s="8" customFormat="1" x14ac:dyDescent="0.2">
      <c r="B13" s="75" t="s">
        <v>2</v>
      </c>
      <c r="C13" s="76" t="s">
        <v>93</v>
      </c>
      <c r="D13" s="77">
        <f>IF(B13="", "", IFERROR(VLOOKUP(B13,'-2 года'!B:P, Настройки!$C$9, FALSE), 0))</f>
        <v>0</v>
      </c>
      <c r="E13" s="77">
        <f>IF(B13="", "", IFERROR(VLOOKUP(B13,'-2 года'!B:P, Настройки!$D$9, FALSE), 0))</f>
        <v>0</v>
      </c>
      <c r="F13" s="77">
        <f>IF(B13="", "", IFERROR(VLOOKUP(B13,'-1 год'!B:P, Настройки!$E$9, FALSE), 0))</f>
        <v>4632687</v>
      </c>
      <c r="G13" s="77">
        <f>IF(B13="", "", IFERROR(VLOOKUP(B13,Прогноз!B:K, Настройки!$F$9, FALSE), 0))</f>
        <v>4834988</v>
      </c>
      <c r="H13" s="77">
        <f>H25+H34</f>
        <v>5034988</v>
      </c>
      <c r="I13" s="78">
        <f t="shared" ref="I13:I55" si="0">IFERROR(IF((H13-G13)/G13&lt;&gt;0, (H13-G13)/G13, ""), "")</f>
        <v>4.1365149199956652E-2</v>
      </c>
      <c r="X13" s="4"/>
    </row>
    <row r="14" spans="2:24" x14ac:dyDescent="0.2">
      <c r="B14" s="79"/>
      <c r="C14" s="80" t="s">
        <v>112</v>
      </c>
      <c r="D14" s="81" t="e">
        <f>D16/D13</f>
        <v>#DIV/0!</v>
      </c>
      <c r="E14" s="81" t="e">
        <f>E16/E13</f>
        <v>#DIV/0!</v>
      </c>
      <c r="F14" s="81">
        <f>F16/F13</f>
        <v>1.2517573494604751E-3</v>
      </c>
      <c r="G14" s="81">
        <f>G16/G13</f>
        <v>1.1356801712848097E-3</v>
      </c>
      <c r="H14" s="81">
        <f>H16/H13</f>
        <v>4.0812609682485838E-2</v>
      </c>
      <c r="I14" s="81">
        <f t="shared" si="0"/>
        <v>34.936710628938783</v>
      </c>
    </row>
    <row r="15" spans="2:24" x14ac:dyDescent="0.2">
      <c r="B15" s="82"/>
      <c r="C15" s="83" t="s">
        <v>3</v>
      </c>
      <c r="D15" s="84" t="str">
        <f>IF(B15="", "", IFERROR(VLOOKUP(B15,'-2 года'!B:P, Настройки!$C$9, FALSE), 0))</f>
        <v/>
      </c>
      <c r="E15" s="84" t="str">
        <f>IF(B15="", "", IFERROR(VLOOKUP(B15,'-2 года'!B:P, Настройки!$D$9, FALSE), 0))</f>
        <v/>
      </c>
      <c r="F15" s="84" t="str">
        <f>IF(B15="", "", IFERROR(VLOOKUP(B15,'-1 год'!B:P, Настройки!$E$9, FALSE), 0))</f>
        <v/>
      </c>
      <c r="G15" s="84" t="str">
        <f>IF(B15="", "", IFERROR(VLOOKUP(B15,Прогноз!B:K, Настройки!$F$9, FALSE), 0))</f>
        <v/>
      </c>
      <c r="H15" s="84" t="str">
        <f>IF(B15="", "", IFERROR(VLOOKUP(B15,Прогноз!B:K, Настройки!$G$9, FALSE), 0))</f>
        <v/>
      </c>
      <c r="I15" s="85" t="str">
        <f t="shared" si="0"/>
        <v/>
      </c>
    </row>
    <row r="16" spans="2:24" x14ac:dyDescent="0.2">
      <c r="B16" s="86" t="s">
        <v>77</v>
      </c>
      <c r="C16" s="87" t="s">
        <v>85</v>
      </c>
      <c r="D16" s="84">
        <f>IF(B16="", "", IFERROR(VLOOKUP(B16,'-2 года'!B:P, Настройки!$C$9, FALSE), 0))</f>
        <v>0</v>
      </c>
      <c r="E16" s="84">
        <f>IF(B16="", "", IFERROR(VLOOKUP(B16,'-2 года'!B:P, Настройки!$D$9, FALSE), 0))</f>
        <v>0</v>
      </c>
      <c r="F16" s="84">
        <f>IF(B16="", "", IFERROR(VLOOKUP(B16,'-1 год'!B:P, Настройки!$E$9, FALSE), 0))</f>
        <v>5799</v>
      </c>
      <c r="G16" s="84">
        <f>IF(B16="", "", IFERROR(VLOOKUP(B16,Прогноз!B:K, Настройки!$F$9, FALSE), 0))</f>
        <v>5491</v>
      </c>
      <c r="H16" s="84">
        <f>IF(B16="", "", IFERROR(VLOOKUP(B16,Прогноз!B:K, Настройки!$G$9, FALSE), 0))+B6</f>
        <v>205491</v>
      </c>
      <c r="I16" s="85">
        <f t="shared" si="0"/>
        <v>36.423238025860499</v>
      </c>
    </row>
    <row r="17" spans="2:9" x14ac:dyDescent="0.2">
      <c r="B17" s="86" t="s">
        <v>78</v>
      </c>
      <c r="C17" s="87" t="s">
        <v>86</v>
      </c>
      <c r="D17" s="84">
        <f>IF(B17="", "", IFERROR(VLOOKUP(B17,'-2 года'!B:P, Настройки!$C$9, FALSE), 0))</f>
        <v>0</v>
      </c>
      <c r="E17" s="84">
        <f>IF(B17="", "", IFERROR(VLOOKUP(B17,'-2 года'!B:P, Настройки!$D$9, FALSE), 0))</f>
        <v>0</v>
      </c>
      <c r="F17" s="84">
        <f>IF(B17="", "", IFERROR(VLOOKUP(B17,'-1 год'!B:P, Настройки!$E$9, FALSE), 0))</f>
        <v>0</v>
      </c>
      <c r="G17" s="84">
        <f>IF(B17="", "", IFERROR(VLOOKUP(B17,Прогноз!B:K, Настройки!$F$9, FALSE), 0))</f>
        <v>0</v>
      </c>
      <c r="H17" s="84">
        <f>IF(B17="", "", IFERROR(VLOOKUP(B17,Прогноз!B:K, Настройки!$G$9, FALSE), 0))</f>
        <v>0</v>
      </c>
      <c r="I17" s="85" t="str">
        <f t="shared" si="0"/>
        <v/>
      </c>
    </row>
    <row r="18" spans="2:9" x14ac:dyDescent="0.2">
      <c r="B18" s="88" t="s">
        <v>126</v>
      </c>
      <c r="C18" s="87" t="s">
        <v>128</v>
      </c>
      <c r="D18" s="70">
        <f>IF(B18="", "", IFERROR(VLOOKUP(B18,'-2 года'!B:P, Настройки!$C$9, FALSE), 0))</f>
        <v>0</v>
      </c>
      <c r="E18" s="84">
        <f>IF(B18="", "", IFERROR(VLOOKUP(B18,'-2 года'!B:P, Настройки!$D$9, FALSE), 0))</f>
        <v>0</v>
      </c>
      <c r="F18" s="84">
        <f>IF(B18="", "", IFERROR(VLOOKUP(B18,'-1 год'!B:P, Настройки!$E$9, FALSE), 0))</f>
        <v>0</v>
      </c>
      <c r="G18" s="84">
        <f>IF(B18="", "", IFERROR(VLOOKUP(B18,Прогноз!B:K, Настройки!$F$9, FALSE), 0))</f>
        <v>0</v>
      </c>
      <c r="H18" s="84">
        <f>IF(B18="", "", IFERROR(VLOOKUP(B18,Прогноз!B:K, Настройки!$G$9, FALSE), 0))</f>
        <v>0</v>
      </c>
      <c r="I18" s="85" t="str">
        <f t="shared" si="0"/>
        <v/>
      </c>
    </row>
    <row r="19" spans="2:9" x14ac:dyDescent="0.2">
      <c r="B19" s="88" t="s">
        <v>127</v>
      </c>
      <c r="C19" s="87" t="s">
        <v>129</v>
      </c>
      <c r="D19" s="70">
        <f>IF(B19="", "", IFERROR(VLOOKUP(B19,'-2 года'!B:P, Настройки!$C$9, FALSE), 0))</f>
        <v>0</v>
      </c>
      <c r="E19" s="84">
        <f>IF(B19="", "", IFERROR(VLOOKUP(B19,'-2 года'!B:P, Настройки!$D$9, FALSE), 0))</f>
        <v>0</v>
      </c>
      <c r="F19" s="84">
        <f>IF(B19="", "", IFERROR(VLOOKUP(B19,'-1 год'!B:P, Настройки!$E$9, FALSE), 0))</f>
        <v>0</v>
      </c>
      <c r="G19" s="84">
        <f>IF(B19="", "", IFERROR(VLOOKUP(B19,Прогноз!B:K, Настройки!$F$9, FALSE), 0))</f>
        <v>0</v>
      </c>
      <c r="H19" s="84">
        <f>IF(B19="", "", IFERROR(VLOOKUP(B19,Прогноз!B:K, Настройки!$G$9, FALSE), 0))</f>
        <v>0</v>
      </c>
      <c r="I19" s="85" t="str">
        <f t="shared" si="0"/>
        <v/>
      </c>
    </row>
    <row r="20" spans="2:9" x14ac:dyDescent="0.2">
      <c r="B20" s="86" t="s">
        <v>5</v>
      </c>
      <c r="C20" s="87" t="s">
        <v>4</v>
      </c>
      <c r="D20" s="84">
        <f>IF(B20="", "", IFERROR(VLOOKUP(B20,'-2 года'!B:P, Настройки!$C$9, FALSE), 0))</f>
        <v>0</v>
      </c>
      <c r="E20" s="84">
        <f>IF(B20="", "", IFERROR(VLOOKUP(B20,'-2 года'!B:P, Настройки!$D$9, FALSE), 0))</f>
        <v>0</v>
      </c>
      <c r="F20" s="84">
        <f>IF(B20="", "", IFERROR(VLOOKUP(B20,'-1 год'!B:P, Настройки!$E$9, FALSE), 0))</f>
        <v>896884</v>
      </c>
      <c r="G20" s="84">
        <f>IF(B20="", "", IFERROR(VLOOKUP(B20,Прогноз!B:K, Настройки!$F$9, FALSE), 0))</f>
        <v>874078</v>
      </c>
      <c r="H20" s="84">
        <f>IF(B20="", "", IFERROR(VLOOKUP(B20,Прогноз!B:K, Настройки!$G$9, FALSE), 0))</f>
        <v>874078</v>
      </c>
      <c r="I20" s="85" t="str">
        <f t="shared" si="0"/>
        <v/>
      </c>
    </row>
    <row r="21" spans="2:9" x14ac:dyDescent="0.2">
      <c r="B21" s="88" t="s">
        <v>130</v>
      </c>
      <c r="C21" s="87" t="s">
        <v>131</v>
      </c>
      <c r="D21" s="70">
        <f>IF(B21="", "", IFERROR(VLOOKUP(B21,'-2 года'!B:P, Настройки!$C$9, FALSE), 0))</f>
        <v>0</v>
      </c>
      <c r="E21" s="84">
        <f>IF(B21="", "", IFERROR(VLOOKUP(B21,'-2 года'!B:P, Настройки!$D$9, FALSE), 0))</f>
        <v>0</v>
      </c>
      <c r="F21" s="84">
        <f>IF(B21="", "", IFERROR(VLOOKUP(B21,'-1 год'!B:P, Настройки!$E$9, FALSE), 0))</f>
        <v>0</v>
      </c>
      <c r="G21" s="84">
        <f>IF(B21="", "", IFERROR(VLOOKUP(B21,Прогноз!B:K, Настройки!$F$9, FALSE), 0))</f>
        <v>0</v>
      </c>
      <c r="H21" s="84">
        <f>IF(B21="", "", IFERROR(VLOOKUP(B21,Прогноз!B:K, Настройки!$G$9, FALSE), 0))</f>
        <v>0</v>
      </c>
      <c r="I21" s="85" t="str">
        <f t="shared" si="0"/>
        <v/>
      </c>
    </row>
    <row r="22" spans="2:9" x14ac:dyDescent="0.2">
      <c r="B22" s="86" t="s">
        <v>79</v>
      </c>
      <c r="C22" s="87" t="s">
        <v>87</v>
      </c>
      <c r="D22" s="84">
        <f>IF(B22="", "", IFERROR(VLOOKUP(B22,'-2 года'!B:P, Настройки!$C$9, FALSE), 0))</f>
        <v>0</v>
      </c>
      <c r="E22" s="84">
        <f>IF(B22="", "", IFERROR(VLOOKUP(B22,'-2 года'!B:P, Настройки!$D$9, FALSE), 0))</f>
        <v>0</v>
      </c>
      <c r="F22" s="84">
        <f>IF(B22="", "", IFERROR(VLOOKUP(B22,'-1 год'!B:P, Настройки!$E$9, FALSE), 0))</f>
        <v>0</v>
      </c>
      <c r="G22" s="84">
        <f>IF(B22="", "", IFERROR(VLOOKUP(B22,Прогноз!B:K, Настройки!$F$9, FALSE), 0))</f>
        <v>0</v>
      </c>
      <c r="H22" s="84">
        <f>IF(B22="", "", IFERROR(VLOOKUP(B22,Прогноз!B:K, Настройки!$G$9, FALSE), 0))</f>
        <v>0</v>
      </c>
      <c r="I22" s="85" t="str">
        <f t="shared" si="0"/>
        <v/>
      </c>
    </row>
    <row r="23" spans="2:9" x14ac:dyDescent="0.2">
      <c r="B23" s="86" t="s">
        <v>7</v>
      </c>
      <c r="C23" s="87" t="s">
        <v>6</v>
      </c>
      <c r="D23" s="84">
        <f>IF(B23="", "", IFERROR(VLOOKUP(B23,'-2 года'!B:P, Настройки!$C$9, FALSE), 0))</f>
        <v>0</v>
      </c>
      <c r="E23" s="84">
        <f>IF(B23="", "", IFERROR(VLOOKUP(B23,'-2 года'!B:P, Настройки!$D$9, FALSE), 0))</f>
        <v>0</v>
      </c>
      <c r="F23" s="84">
        <f>IF(B23="", "", IFERROR(VLOOKUP(B23,'-1 год'!B:P, Настройки!$E$9, FALSE), 0))</f>
        <v>0</v>
      </c>
      <c r="G23" s="84">
        <f>IF(B23="", "", IFERROR(VLOOKUP(B23,Прогноз!B:K, Настройки!$F$9, FALSE), 0))</f>
        <v>0</v>
      </c>
      <c r="H23" s="84">
        <f>IF(B23="", "", IFERROR(VLOOKUP(B23,Прогноз!B:K, Настройки!$G$9, FALSE), 0))</f>
        <v>0</v>
      </c>
      <c r="I23" s="85" t="str">
        <f t="shared" si="0"/>
        <v/>
      </c>
    </row>
    <row r="24" spans="2:9" x14ac:dyDescent="0.2">
      <c r="B24" s="86" t="s">
        <v>73</v>
      </c>
      <c r="C24" s="87" t="s">
        <v>72</v>
      </c>
      <c r="D24" s="84">
        <f>IF(B24="", "", IFERROR(VLOOKUP(B24,'-2 года'!B:P, Настройки!$C$9, FALSE), 0))</f>
        <v>0</v>
      </c>
      <c r="E24" s="84">
        <f>IF(B24="", "", IFERROR(VLOOKUP(B24,'-2 года'!B:P, Настройки!$D$9, FALSE), 0))</f>
        <v>0</v>
      </c>
      <c r="F24" s="84">
        <f>IF(B24="", "", IFERROR(VLOOKUP(B24,'-1 год'!B:P, Настройки!$E$9, FALSE), 0))</f>
        <v>111282</v>
      </c>
      <c r="G24" s="84">
        <f>IF(B24="", "", IFERROR(VLOOKUP(B24,Прогноз!B:K, Настройки!$F$9, FALSE), 0))</f>
        <v>77998</v>
      </c>
      <c r="H24" s="84">
        <f>IF(B24="", "", IFERROR(VLOOKUP(B24,Прогноз!B:K, Настройки!$G$9, FALSE), 0))</f>
        <v>77998</v>
      </c>
      <c r="I24" s="85" t="str">
        <f t="shared" si="0"/>
        <v/>
      </c>
    </row>
    <row r="25" spans="2:9" x14ac:dyDescent="0.2">
      <c r="B25" s="75" t="s">
        <v>8</v>
      </c>
      <c r="C25" s="76" t="s">
        <v>166</v>
      </c>
      <c r="D25" s="77">
        <f>IF(B25="", "", IFERROR(VLOOKUP(B25,'-2 года'!B:P, Настройки!$C$9, FALSE), 0))</f>
        <v>0</v>
      </c>
      <c r="E25" s="77">
        <f>IF(B25="", "", IFERROR(VLOOKUP(B25,'-2 года'!B:P, Настройки!$D$9, FALSE), 0))</f>
        <v>0</v>
      </c>
      <c r="F25" s="77">
        <f>IF(B25="", "", IFERROR(VLOOKUP(B25,'-1 год'!B:P, Настройки!$E$9, FALSE), 0))</f>
        <v>1013965</v>
      </c>
      <c r="G25" s="77">
        <f>IF(B25="", "", IFERROR(VLOOKUP(B25,Прогноз!B:K, Настройки!$F$9, FALSE), 0))</f>
        <v>957567</v>
      </c>
      <c r="H25" s="77">
        <f>SUM(H16:H24)</f>
        <v>1157567</v>
      </c>
      <c r="I25" s="89">
        <f t="shared" si="0"/>
        <v>0.20886266966175734</v>
      </c>
    </row>
    <row r="26" spans="2:9" x14ac:dyDescent="0.2">
      <c r="B26" s="79"/>
      <c r="C26" s="80" t="s">
        <v>113</v>
      </c>
      <c r="D26" s="81" t="e">
        <f>D16/D25</f>
        <v>#DIV/0!</v>
      </c>
      <c r="E26" s="81" t="e">
        <f>E16/E25</f>
        <v>#DIV/0!</v>
      </c>
      <c r="F26" s="81">
        <f>F16/F25</f>
        <v>5.7191323171904354E-3</v>
      </c>
      <c r="G26" s="81">
        <f>G16/G25</f>
        <v>5.734324595563548E-3</v>
      </c>
      <c r="H26" s="81">
        <f>H16/H25</f>
        <v>0.17751974615724186</v>
      </c>
      <c r="I26" s="81">
        <f t="shared" si="0"/>
        <v>29.95739405728494</v>
      </c>
    </row>
    <row r="27" spans="2:9" x14ac:dyDescent="0.2">
      <c r="B27" s="82"/>
      <c r="C27" s="83" t="s">
        <v>9</v>
      </c>
      <c r="D27" s="84" t="str">
        <f>IF(B27="", "", IFERROR(VLOOKUP(B27,'-2 года'!B:P, Настройки!$C$9, FALSE), 0))</f>
        <v/>
      </c>
      <c r="E27" s="84" t="str">
        <f>IF(B27="", "", IFERROR(VLOOKUP(B27,'-2 года'!B:P, Настройки!$D$9, FALSE), 0))</f>
        <v/>
      </c>
      <c r="F27" s="84" t="str">
        <f>IF(B27="", "", IFERROR(VLOOKUP(B27,'-1 год'!B:P, Настройки!$E$9, FALSE), 0))</f>
        <v/>
      </c>
      <c r="G27" s="84" t="str">
        <f>IF(B27="", "", IFERROR(VLOOKUP(B27,Прогноз!B:K, Настройки!$F$9, FALSE), 0))</f>
        <v/>
      </c>
      <c r="H27" s="84" t="str">
        <f>IF(B27="", "", IFERROR(VLOOKUP(B27,Прогноз!B:K, Настройки!$G$9, FALSE), 0))</f>
        <v/>
      </c>
      <c r="I27" s="85" t="str">
        <f t="shared" si="0"/>
        <v/>
      </c>
    </row>
    <row r="28" spans="2:9" x14ac:dyDescent="0.2">
      <c r="B28" s="86" t="s">
        <v>11</v>
      </c>
      <c r="C28" s="87" t="s">
        <v>10</v>
      </c>
      <c r="D28" s="84">
        <f>IF(B28="", "", IFERROR(VLOOKUP(B28,'-2 года'!B:P, Настройки!$C$9, FALSE), 0))</f>
        <v>0</v>
      </c>
      <c r="E28" s="84">
        <f>IF(B28="", "", IFERROR(VLOOKUP(B28,'-2 года'!B:P, Настройки!$D$9, FALSE), 0))</f>
        <v>0</v>
      </c>
      <c r="F28" s="84">
        <f>IF(B28="", "", IFERROR(VLOOKUP(B28,'-1 год'!B:P, Настройки!$E$9, FALSE), 0))</f>
        <v>2825074</v>
      </c>
      <c r="G28" s="84">
        <f>IF(B28="", "", IFERROR(VLOOKUP(B28,Прогноз!B:K, Настройки!$F$9, FALSE), 0))</f>
        <v>3012931</v>
      </c>
      <c r="H28" s="84">
        <f>IF(B28="", "", IFERROR(VLOOKUP(B28,Прогноз!B:K, Настройки!$G$9, FALSE), 0))</f>
        <v>3012931</v>
      </c>
      <c r="I28" s="85" t="str">
        <f t="shared" si="0"/>
        <v/>
      </c>
    </row>
    <row r="29" spans="2:9" x14ac:dyDescent="0.2">
      <c r="B29" s="86" t="s">
        <v>13</v>
      </c>
      <c r="C29" s="87" t="s">
        <v>12</v>
      </c>
      <c r="D29" s="84">
        <f>IF(B29="", "", IFERROR(VLOOKUP(B29,'-2 года'!B:P, Настройки!$C$9, FALSE), 0))</f>
        <v>0</v>
      </c>
      <c r="E29" s="84">
        <f>IF(B29="", "", IFERROR(VLOOKUP(B29,'-2 года'!B:P, Настройки!$D$9, FALSE), 0))</f>
        <v>0</v>
      </c>
      <c r="F29" s="84">
        <f>IF(B29="", "", IFERROR(VLOOKUP(B29,'-1 год'!B:P, Настройки!$E$9, FALSE), 0))</f>
        <v>6321</v>
      </c>
      <c r="G29" s="84">
        <f>IF(B29="", "", IFERROR(VLOOKUP(B29,Прогноз!B:K, Настройки!$F$9, FALSE), 0))</f>
        <v>5370</v>
      </c>
      <c r="H29" s="84">
        <f>IF(B29="", "", IFERROR(VLOOKUP(B29,Прогноз!B:K, Настройки!$G$9, FALSE), 0))</f>
        <v>5370</v>
      </c>
      <c r="I29" s="85" t="str">
        <f t="shared" si="0"/>
        <v/>
      </c>
    </row>
    <row r="30" spans="2:9" x14ac:dyDescent="0.2">
      <c r="B30" s="86" t="s">
        <v>15</v>
      </c>
      <c r="C30" s="87" t="s">
        <v>14</v>
      </c>
      <c r="D30" s="84">
        <f>IF(B30="", "", IFERROR(VLOOKUP(B30,'-2 года'!B:P, Настройки!$C$9, FALSE), 0))</f>
        <v>0</v>
      </c>
      <c r="E30" s="84">
        <f>IF(B30="", "", IFERROR(VLOOKUP(B30,'-2 года'!B:P, Настройки!$D$9, FALSE), 0))</f>
        <v>0</v>
      </c>
      <c r="F30" s="84">
        <f>IF(B30="", "", IFERROR(VLOOKUP(B30,'-1 год'!B:P, Настройки!$E$9, FALSE), 0))</f>
        <v>695340</v>
      </c>
      <c r="G30" s="84">
        <f>IF(B30="", "", IFERROR(VLOOKUP(B30,Прогноз!B:K, Настройки!$F$9, FALSE), 0))</f>
        <v>796373</v>
      </c>
      <c r="H30" s="84">
        <f>IF(B30="", "", IFERROR(VLOOKUP(B30,Прогноз!B:K, Настройки!$G$9, FALSE), 0))</f>
        <v>796373</v>
      </c>
      <c r="I30" s="85" t="str">
        <f t="shared" si="0"/>
        <v/>
      </c>
    </row>
    <row r="31" spans="2:9" x14ac:dyDescent="0.2">
      <c r="B31" s="86" t="s">
        <v>80</v>
      </c>
      <c r="C31" s="87" t="s">
        <v>87</v>
      </c>
      <c r="D31" s="84">
        <f>IF(B31="", "", IFERROR(VLOOKUP(B31,'-2 года'!B:P, Настройки!$C$9, FALSE), 0))</f>
        <v>0</v>
      </c>
      <c r="E31" s="84">
        <f>IF(B31="", "", IFERROR(VLOOKUP(B31,'-2 года'!B:P, Настройки!$D$9, FALSE), 0))</f>
        <v>0</v>
      </c>
      <c r="F31" s="84">
        <f>IF(B31="", "", IFERROR(VLOOKUP(B31,'-1 год'!B:P, Настройки!$E$9, FALSE), 0))</f>
        <v>0</v>
      </c>
      <c r="G31" s="84">
        <f>IF(B31="", "", IFERROR(VLOOKUP(B31,Прогноз!B:K, Настройки!$F$9, FALSE), 0))</f>
        <v>0</v>
      </c>
      <c r="H31" s="84">
        <f>IF(B31="", "", IFERROR(VLOOKUP(B31,Прогноз!B:K, Настройки!$G$9, FALSE), 0))</f>
        <v>0</v>
      </c>
      <c r="I31" s="85" t="str">
        <f t="shared" si="0"/>
        <v/>
      </c>
    </row>
    <row r="32" spans="2:9" x14ac:dyDescent="0.2">
      <c r="B32" s="86" t="s">
        <v>17</v>
      </c>
      <c r="C32" s="87" t="s">
        <v>16</v>
      </c>
      <c r="D32" s="84">
        <f>IF(B32="", "", IFERROR(VLOOKUP(B32,'-2 года'!B:P, Настройки!$C$9, FALSE), 0))</f>
        <v>0</v>
      </c>
      <c r="E32" s="84">
        <f>IF(B32="", "", IFERROR(VLOOKUP(B32,'-2 года'!B:P, Настройки!$D$9, FALSE), 0))</f>
        <v>0</v>
      </c>
      <c r="F32" s="84">
        <f>IF(B32="", "", IFERROR(VLOOKUP(B32,'-1 год'!B:P, Настройки!$E$9, FALSE), 0))</f>
        <v>67532</v>
      </c>
      <c r="G32" s="84">
        <f>IF(B32="", "", IFERROR(VLOOKUP(B32,Прогноз!B:K, Настройки!$F$9, FALSE), 0))</f>
        <v>62747</v>
      </c>
      <c r="H32" s="84">
        <f>IF(B32="", "", IFERROR(VLOOKUP(B32,Прогноз!B:K, Настройки!$G$9, FALSE), 0))</f>
        <v>62747</v>
      </c>
      <c r="I32" s="85" t="str">
        <f t="shared" si="0"/>
        <v/>
      </c>
    </row>
    <row r="33" spans="2:9" x14ac:dyDescent="0.2">
      <c r="B33" s="86" t="s">
        <v>19</v>
      </c>
      <c r="C33" s="87" t="s">
        <v>18</v>
      </c>
      <c r="D33" s="84">
        <f>IF(B33="", "", IFERROR(VLOOKUP(B33,'-2 года'!B:P, Настройки!$C$9, FALSE), 0))</f>
        <v>0</v>
      </c>
      <c r="E33" s="84">
        <f>IF(B33="", "", IFERROR(VLOOKUP(B33,'-2 года'!B:P, Настройки!$D$9, FALSE), 0))</f>
        <v>0</v>
      </c>
      <c r="F33" s="84">
        <f>IF(B33="", "", IFERROR(VLOOKUP(B33,'-1 год'!B:P, Настройки!$E$9, FALSE), 0))</f>
        <v>24455</v>
      </c>
      <c r="G33" s="84">
        <f>IF(B33="", "", IFERROR(VLOOKUP(B33,Прогноз!B:K, Настройки!$F$9, FALSE), 0))</f>
        <v>0</v>
      </c>
      <c r="H33" s="84">
        <f>IF(B33="", "", IFERROR(VLOOKUP(B33,Прогноз!B:K, Настройки!$G$9, FALSE), 0))</f>
        <v>0</v>
      </c>
      <c r="I33" s="85" t="str">
        <f t="shared" si="0"/>
        <v/>
      </c>
    </row>
    <row r="34" spans="2:9" x14ac:dyDescent="0.2">
      <c r="B34" s="75" t="s">
        <v>20</v>
      </c>
      <c r="C34" s="76" t="s">
        <v>166</v>
      </c>
      <c r="D34" s="77">
        <f>IF(B34="", "", IFERROR(VLOOKUP(B34,'-2 года'!B:P, Настройки!$C$9, FALSE), 0))</f>
        <v>0</v>
      </c>
      <c r="E34" s="77">
        <f>IF(B34="", "", IFERROR(VLOOKUP(B34,'-2 года'!B:P, Настройки!$D$9, FALSE), 0))</f>
        <v>0</v>
      </c>
      <c r="F34" s="77">
        <f>IF(B34="", "", IFERROR(VLOOKUP(B34,'-1 год'!B:P, Настройки!$E$9, FALSE), 0))</f>
        <v>3618722</v>
      </c>
      <c r="G34" s="77">
        <f>IF(B34="", "", IFERROR(VLOOKUP(B34,Прогноз!B:K, Настройки!$F$9, FALSE), 0))</f>
        <v>3877421</v>
      </c>
      <c r="H34" s="77">
        <f>SUM(H28:H33)</f>
        <v>3877421</v>
      </c>
      <c r="I34" s="89" t="str">
        <f t="shared" si="0"/>
        <v/>
      </c>
    </row>
    <row r="35" spans="2:9" x14ac:dyDescent="0.2">
      <c r="B35" s="82"/>
      <c r="C35" s="83" t="s">
        <v>21</v>
      </c>
      <c r="D35" s="84" t="str">
        <f>IF(B35="", "", IFERROR(VLOOKUP(B35,'-2 года'!B:P, Настройки!$C$9, FALSE), 0))</f>
        <v/>
      </c>
      <c r="E35" s="84" t="str">
        <f>IF(B35="", "", IFERROR(VLOOKUP(B35,'-2 года'!B:P, Настройки!$D$9, FALSE), 0))</f>
        <v/>
      </c>
      <c r="F35" s="84" t="str">
        <f>IF(B35="", "", IFERROR(VLOOKUP(B35,'-1 год'!B:P, Настройки!$E$9, FALSE), 0))</f>
        <v/>
      </c>
      <c r="G35" s="84" t="str">
        <f>IF(B35="", "", IFERROR(VLOOKUP(B35,Прогноз!B:K, Настройки!$F$9, FALSE), 0))</f>
        <v/>
      </c>
      <c r="H35" s="84" t="str">
        <f>IF(B35="", "", IFERROR(VLOOKUP(B35,Прогноз!B:K, Настройки!$G$9, FALSE), 0))</f>
        <v/>
      </c>
      <c r="I35" s="85" t="str">
        <f t="shared" si="0"/>
        <v/>
      </c>
    </row>
    <row r="36" spans="2:9" x14ac:dyDescent="0.2">
      <c r="B36" s="86" t="s">
        <v>23</v>
      </c>
      <c r="C36" s="87" t="s">
        <v>22</v>
      </c>
      <c r="D36" s="84">
        <f>IF(B36="", "", IFERROR(VLOOKUP(B36,'-2 года'!B:P, Настройки!$C$9, FALSE), 0))</f>
        <v>0</v>
      </c>
      <c r="E36" s="84">
        <f>IF(B36="", "", IFERROR(VLOOKUP(B36,'-2 года'!B:P, Настройки!$D$9, FALSE), 0))</f>
        <v>0</v>
      </c>
      <c r="F36" s="84">
        <f>IF(B36="", "", IFERROR(VLOOKUP(B36,'-1 год'!B:P, Настройки!$E$9, FALSE), 0))</f>
        <v>25876</v>
      </c>
      <c r="G36" s="84">
        <f>IF(B36="", "", IFERROR(VLOOKUP(B36,Прогноз!B:K, Настройки!$F$9, FALSE), 0))</f>
        <v>25876</v>
      </c>
      <c r="H36" s="84">
        <f>IF(B36="", "", IFERROR(VLOOKUP(B36,Прогноз!B:K, Настройки!$G$9, FALSE), 0))</f>
        <v>25876</v>
      </c>
      <c r="I36" s="85" t="str">
        <f t="shared" si="0"/>
        <v/>
      </c>
    </row>
    <row r="37" spans="2:9" x14ac:dyDescent="0.2">
      <c r="B37" s="86" t="s">
        <v>122</v>
      </c>
      <c r="C37" s="87" t="s">
        <v>123</v>
      </c>
      <c r="D37" s="70">
        <f>IF(B37="", "", IFERROR(VLOOKUP(B37,'-2 года'!B:P, Настройки!$C$9, FALSE), 0))</f>
        <v>0</v>
      </c>
      <c r="E37" s="84">
        <f>IF(B37="", "", IFERROR(VLOOKUP(B37,'-2 года'!B:P, Настройки!$D$9, FALSE), 0))</f>
        <v>0</v>
      </c>
      <c r="F37" s="84">
        <f>IF(B37="", "", IFERROR(VLOOKUP(B37,'-1 год'!B:P, Настройки!$E$9, FALSE), 0))</f>
        <v>0</v>
      </c>
      <c r="G37" s="84">
        <f>IF(B37="", "", IFERROR(VLOOKUP(B37,Прогноз!B:K, Настройки!$F$9, FALSE), 0))</f>
        <v>0</v>
      </c>
      <c r="H37" s="84">
        <f>IF(B37="", "", IFERROR(VLOOKUP(B37,Прогноз!B:K, Настройки!$G$9, FALSE), 0))</f>
        <v>0</v>
      </c>
      <c r="I37" s="85" t="str">
        <f t="shared" si="0"/>
        <v/>
      </c>
    </row>
    <row r="38" spans="2:9" x14ac:dyDescent="0.2">
      <c r="B38" s="86" t="s">
        <v>81</v>
      </c>
      <c r="C38" s="87" t="s">
        <v>88</v>
      </c>
      <c r="D38" s="84">
        <f>IF(B38="", "", IFERROR(VLOOKUP(B38,'-2 года'!B:P, Настройки!$C$9, FALSE), 0))</f>
        <v>0</v>
      </c>
      <c r="E38" s="84">
        <f>IF(B38="", "", IFERROR(VLOOKUP(B38,'-2 года'!B:P, Настройки!$D$9, FALSE), 0))</f>
        <v>0</v>
      </c>
      <c r="F38" s="84">
        <f>IF(B38="", "", IFERROR(VLOOKUP(B38,'-1 год'!B:P, Настройки!$E$9, FALSE), 0))</f>
        <v>99208</v>
      </c>
      <c r="G38" s="84">
        <f>IF(B38="", "", IFERROR(VLOOKUP(B38,Прогноз!B:K, Настройки!$F$9, FALSE), 0))</f>
        <v>-792</v>
      </c>
      <c r="H38" s="84">
        <f>IF(B38="", "", IFERROR(VLOOKUP(B38,Прогноз!B:K, Настройки!$G$9, FALSE), 0))</f>
        <v>-792</v>
      </c>
      <c r="I38" s="85" t="str">
        <f t="shared" si="0"/>
        <v/>
      </c>
    </row>
    <row r="39" spans="2:9" x14ac:dyDescent="0.2">
      <c r="B39" s="86" t="s">
        <v>25</v>
      </c>
      <c r="C39" s="87" t="s">
        <v>24</v>
      </c>
      <c r="D39" s="84">
        <f>IF(B39="", "", IFERROR(VLOOKUP(B39,'-2 года'!B:P, Настройки!$C$9, FALSE), 0))</f>
        <v>0</v>
      </c>
      <c r="E39" s="84">
        <f>IF(B39="", "", IFERROR(VLOOKUP(B39,'-2 года'!B:P, Настройки!$D$9, FALSE), 0))</f>
        <v>0</v>
      </c>
      <c r="F39" s="84">
        <f>IF(B39="", "", IFERROR(VLOOKUP(B39,'-1 год'!B:P, Настройки!$E$9, FALSE), 0))</f>
        <v>0</v>
      </c>
      <c r="G39" s="84">
        <f>IF(B39="", "", IFERROR(VLOOKUP(B39,Прогноз!B:K, Настройки!$F$9, FALSE), 0))</f>
        <v>0</v>
      </c>
      <c r="H39" s="84">
        <f>IF(B39="", "", IFERROR(VLOOKUP(B39,Прогноз!B:K, Настройки!$G$9, FALSE), 0))</f>
        <v>0</v>
      </c>
      <c r="I39" s="85" t="str">
        <f t="shared" si="0"/>
        <v/>
      </c>
    </row>
    <row r="40" spans="2:9" x14ac:dyDescent="0.2">
      <c r="B40" s="86" t="s">
        <v>82</v>
      </c>
      <c r="C40" s="87" t="s">
        <v>89</v>
      </c>
      <c r="D40" s="84">
        <f>IF(B40="", "", IFERROR(VLOOKUP(B40,'-2 года'!B:P, Настройки!$C$9, FALSE), 0))</f>
        <v>0</v>
      </c>
      <c r="E40" s="84">
        <f>IF(B40="", "", IFERROR(VLOOKUP(B40,'-2 года'!B:P, Настройки!$D$9, FALSE), 0))</f>
        <v>0</v>
      </c>
      <c r="F40" s="84">
        <f>IF(B40="", "", IFERROR(VLOOKUP(B40,'-1 год'!B:P, Настройки!$E$9, FALSE), 0))</f>
        <v>339052</v>
      </c>
      <c r="G40" s="84">
        <f>IF(B40="", "", IFERROR(VLOOKUP(B40,Прогноз!B:K, Настройки!$F$9, FALSE), 0))</f>
        <v>9052</v>
      </c>
      <c r="H40" s="84">
        <f>IF(B40="", "", IFERROR(VLOOKUP(B40,Прогноз!B:K, Настройки!$G$9, FALSE), 0))</f>
        <v>9052</v>
      </c>
      <c r="I40" s="85" t="str">
        <f t="shared" si="0"/>
        <v/>
      </c>
    </row>
    <row r="41" spans="2:9" x14ac:dyDescent="0.2">
      <c r="B41" s="86" t="s">
        <v>27</v>
      </c>
      <c r="C41" s="87" t="s">
        <v>26</v>
      </c>
      <c r="D41" s="84">
        <f>IF(B41="", "", IFERROR(VLOOKUP(B41,'-2 года'!B:P, Настройки!$C$9, FALSE), 0))</f>
        <v>0</v>
      </c>
      <c r="E41" s="84">
        <f>IF(B41="", "", IFERROR(VLOOKUP(B41,'-2 года'!B:P, Настройки!$D$9, FALSE), 0))</f>
        <v>0</v>
      </c>
      <c r="F41" s="84">
        <f>IF(B41="", "", IFERROR(VLOOKUP(B41,'-1 год'!B:P, Настройки!$E$9, FALSE), 0))</f>
        <v>2904250</v>
      </c>
      <c r="G41" s="84">
        <f>IF(B41="", "", IFERROR(VLOOKUP(B41,Прогноз!B:K, Настройки!$F$9, FALSE), 0))</f>
        <v>3339636</v>
      </c>
      <c r="H41" s="84">
        <f>IF(B41="", "", IFERROR(VLOOKUP(B41,Прогноз!B:K, Настройки!$G$9, FALSE), 0))+B6</f>
        <v>3539636</v>
      </c>
      <c r="I41" s="85">
        <f t="shared" si="0"/>
        <v>5.9886766102653102E-2</v>
      </c>
    </row>
    <row r="42" spans="2:9" x14ac:dyDescent="0.2">
      <c r="B42" s="75" t="s">
        <v>28</v>
      </c>
      <c r="C42" s="76" t="s">
        <v>166</v>
      </c>
      <c r="D42" s="77">
        <f>IF(B42="", "", IFERROR(VLOOKUP(B42,'-2 года'!B:P, Настройки!$C$9, FALSE), 0))</f>
        <v>0</v>
      </c>
      <c r="E42" s="77">
        <f>IF(B42="", "", IFERROR(VLOOKUP(B42,'-2 года'!B:P, Настройки!$D$9, FALSE), 0))</f>
        <v>0</v>
      </c>
      <c r="F42" s="77">
        <f>IF(B42="", "", IFERROR(VLOOKUP(B42,'-1 год'!B:P, Настройки!$E$9, FALSE), 0))</f>
        <v>3368386</v>
      </c>
      <c r="G42" s="77">
        <f>IF(B42="", "", IFERROR(VLOOKUP(B42,Прогноз!B:K, Настройки!$F$9, FALSE), 0))</f>
        <v>3373772</v>
      </c>
      <c r="H42" s="77">
        <f>SUM(H36:H41)</f>
        <v>3573772</v>
      </c>
      <c r="I42" s="89">
        <f t="shared" si="0"/>
        <v>5.9280828698560543E-2</v>
      </c>
    </row>
    <row r="43" spans="2:9" x14ac:dyDescent="0.2">
      <c r="B43" s="82"/>
      <c r="C43" s="83" t="s">
        <v>29</v>
      </c>
      <c r="D43" s="84" t="str">
        <f>IF(B43="", "", IFERROR(VLOOKUP(B43,'-2 года'!B:P, Настройки!$C$9, FALSE), 0))</f>
        <v/>
      </c>
      <c r="E43" s="84" t="str">
        <f>IF(B43="", "", IFERROR(VLOOKUP(B43,'-2 года'!B:P, Настройки!$D$9, FALSE), 0))</f>
        <v/>
      </c>
      <c r="F43" s="84" t="str">
        <f>IF(B43="", "", IFERROR(VLOOKUP(B43,'-1 год'!B:P, Настройки!$E$9, FALSE), 0))</f>
        <v/>
      </c>
      <c r="G43" s="84" t="str">
        <f>IF(B43="", "", IFERROR(VLOOKUP(B43,Прогноз!B:K, Настройки!$F$9, FALSE), 0))</f>
        <v/>
      </c>
      <c r="H43" s="84" t="str">
        <f>IF(B43="", "", IFERROR(VLOOKUP(B43,Прогноз!B:K, Настройки!$G$9, FALSE), 0))</f>
        <v/>
      </c>
      <c r="I43" s="85" t="str">
        <f t="shared" si="0"/>
        <v/>
      </c>
    </row>
    <row r="44" spans="2:9" x14ac:dyDescent="0.2">
      <c r="B44" s="86" t="s">
        <v>31</v>
      </c>
      <c r="C44" s="87" t="s">
        <v>30</v>
      </c>
      <c r="D44" s="84">
        <f>IF(B44="", "", IFERROR(VLOOKUP(B44,'-2 года'!B:P, Настройки!$C$9, FALSE), 0))</f>
        <v>0</v>
      </c>
      <c r="E44" s="84">
        <f>IF(B44="", "", IFERROR(VLOOKUP(B44,'-2 года'!B:P, Настройки!$D$9, FALSE), 0))</f>
        <v>0</v>
      </c>
      <c r="F44" s="84">
        <f>IF(B44="", "", IFERROR(VLOOKUP(B44,'-1 год'!B:P, Настройки!$E$9, FALSE), 0))</f>
        <v>223500</v>
      </c>
      <c r="G44" s="84">
        <f>IF(B44="", "", IFERROR(VLOOKUP(B44,Прогноз!B:K, Настройки!$F$9, FALSE), 0))</f>
        <v>652935</v>
      </c>
      <c r="H44" s="84">
        <f>IF(B44="", "", IFERROR(VLOOKUP(B44,Прогноз!B:K, Настройки!$G$9, FALSE), 0))</f>
        <v>652935</v>
      </c>
      <c r="I44" s="85" t="str">
        <f t="shared" si="0"/>
        <v/>
      </c>
    </row>
    <row r="45" spans="2:9" x14ac:dyDescent="0.2">
      <c r="B45" s="86" t="s">
        <v>33</v>
      </c>
      <c r="C45" s="87" t="s">
        <v>32</v>
      </c>
      <c r="D45" s="84">
        <f>IF(B45="", "", IFERROR(VLOOKUP(B45,'-2 года'!B:P, Настройки!$C$9, FALSE), 0))</f>
        <v>0</v>
      </c>
      <c r="E45" s="84">
        <f>IF(B45="", "", IFERROR(VLOOKUP(B45,'-2 года'!B:P, Настройки!$D$9, FALSE), 0))</f>
        <v>0</v>
      </c>
      <c r="F45" s="84">
        <f>IF(B45="", "", IFERROR(VLOOKUP(B45,'-1 год'!B:P, Настройки!$E$9, FALSE), 0))</f>
        <v>0</v>
      </c>
      <c r="G45" s="84">
        <f>IF(B45="", "", IFERROR(VLOOKUP(B45,Прогноз!B:K, Настройки!$F$9, FALSE), 0))</f>
        <v>0</v>
      </c>
      <c r="H45" s="84">
        <f>IF(B45="", "", IFERROR(VLOOKUP(B45,Прогноз!B:K, Настройки!$G$9, FALSE), 0))</f>
        <v>0</v>
      </c>
      <c r="I45" s="85" t="str">
        <f t="shared" si="0"/>
        <v/>
      </c>
    </row>
    <row r="46" spans="2:9" x14ac:dyDescent="0.2">
      <c r="B46" s="88" t="s">
        <v>124</v>
      </c>
      <c r="C46" s="87" t="s">
        <v>74</v>
      </c>
      <c r="D46" s="70">
        <f>IF(B46="", "", IFERROR(VLOOKUP(B46,'-2 года'!B:P, Настройки!$C$9, FALSE), 0))</f>
        <v>0</v>
      </c>
      <c r="E46" s="84">
        <f>IF(B46="", "", IFERROR(VLOOKUP(B46,'-2 года'!B:P, Настройки!$D$9, FALSE), 0))</f>
        <v>0</v>
      </c>
      <c r="F46" s="84">
        <f>IF(B46="", "", IFERROR(VLOOKUP(B46,'-1 год'!B:P, Настройки!$E$9, FALSE), 0))</f>
        <v>0</v>
      </c>
      <c r="G46" s="84">
        <f>IF(B46="", "", IFERROR(VLOOKUP(B46,Прогноз!B:K, Настройки!$F$9, FALSE), 0))</f>
        <v>0</v>
      </c>
      <c r="H46" s="84">
        <f>IF(B46="", "", IFERROR(VLOOKUP(B46,Прогноз!B:K, Настройки!$G$9, FALSE), 0))</f>
        <v>0</v>
      </c>
      <c r="I46" s="85" t="str">
        <f t="shared" si="0"/>
        <v/>
      </c>
    </row>
    <row r="47" spans="2:9" x14ac:dyDescent="0.2">
      <c r="B47" s="86" t="s">
        <v>83</v>
      </c>
      <c r="C47" s="87" t="s">
        <v>90</v>
      </c>
      <c r="D47" s="84">
        <f>IF(B47="", "", IFERROR(VLOOKUP(B47,'-2 года'!B:P, Настройки!$C$9, FALSE), 0))</f>
        <v>0</v>
      </c>
      <c r="E47" s="84">
        <f>IF(B47="", "", IFERROR(VLOOKUP(B47,'-2 года'!B:P, Настройки!$D$9, FALSE), 0))</f>
        <v>0</v>
      </c>
      <c r="F47" s="84">
        <f>IF(B47="", "", IFERROR(VLOOKUP(B47,'-1 год'!B:P, Настройки!$E$9, FALSE), 0))</f>
        <v>0</v>
      </c>
      <c r="G47" s="84">
        <f>IF(B47="", "", IFERROR(VLOOKUP(B47,Прогноз!B:K, Настройки!$F$9, FALSE), 0))</f>
        <v>0</v>
      </c>
      <c r="H47" s="84">
        <f>IF(B47="", "", IFERROR(VLOOKUP(B47,Прогноз!B:K, Настройки!$G$9, FALSE), 0))</f>
        <v>0</v>
      </c>
      <c r="I47" s="85" t="str">
        <f t="shared" si="0"/>
        <v/>
      </c>
    </row>
    <row r="48" spans="2:9" x14ac:dyDescent="0.2">
      <c r="B48" s="75" t="s">
        <v>34</v>
      </c>
      <c r="C48" s="76" t="s">
        <v>166</v>
      </c>
      <c r="D48" s="77">
        <f>IF(B48="", "", IFERROR(VLOOKUP(B48,'-2 года'!B:P, Настройки!$C$9, FALSE), 0))</f>
        <v>0</v>
      </c>
      <c r="E48" s="77">
        <f>IF(B48="", "", IFERROR(VLOOKUP(B48,'-2 года'!B:P, Настройки!$D$9, FALSE), 0))</f>
        <v>0</v>
      </c>
      <c r="F48" s="77">
        <f>IF(B48="", "", IFERROR(VLOOKUP(B48,'-1 год'!B:P, Настройки!$E$9, FALSE), 0))</f>
        <v>223500</v>
      </c>
      <c r="G48" s="77">
        <f>IF(B48="", "", IFERROR(VLOOKUP(B48,Прогноз!B:K, Настройки!$F$9, FALSE), 0))</f>
        <v>652935</v>
      </c>
      <c r="H48" s="77">
        <f>IF(B48="", "", IFERROR(VLOOKUP(B48,Прогноз!B:K, Настройки!$G$9, FALSE), 0))</f>
        <v>652935</v>
      </c>
      <c r="I48" s="89" t="str">
        <f t="shared" si="0"/>
        <v/>
      </c>
    </row>
    <row r="49" spans="2:24" x14ac:dyDescent="0.2">
      <c r="B49" s="82"/>
      <c r="C49" s="83" t="s">
        <v>35</v>
      </c>
      <c r="D49" s="84" t="str">
        <f>IF(B49="", "", IFERROR(VLOOKUP(B49,'-2 года'!B:P, Настройки!$C$9, FALSE), 0))</f>
        <v/>
      </c>
      <c r="E49" s="84" t="str">
        <f>IF(B49="", "", IFERROR(VLOOKUP(B49,'-2 года'!B:P, Настройки!$D$9, FALSE), 0))</f>
        <v/>
      </c>
      <c r="F49" s="84" t="str">
        <f>IF(B49="", "", IFERROR(VLOOKUP(B49,'-1 год'!B:P, Настройки!$E$9, FALSE), 0))</f>
        <v/>
      </c>
      <c r="G49" s="84" t="str">
        <f>IF(B49="", "", IFERROR(VLOOKUP(B49,Прогноз!B:K, Настройки!$F$9, FALSE), 0))</f>
        <v/>
      </c>
      <c r="H49" s="84" t="str">
        <f>IF(B49="", "", IFERROR(VLOOKUP(B49,Прогноз!B:K, Настройки!$G$9, FALSE), 0))</f>
        <v/>
      </c>
      <c r="I49" s="85" t="str">
        <f t="shared" si="0"/>
        <v/>
      </c>
    </row>
    <row r="50" spans="2:24" x14ac:dyDescent="0.2">
      <c r="B50" s="86" t="s">
        <v>36</v>
      </c>
      <c r="C50" s="87" t="s">
        <v>30</v>
      </c>
      <c r="D50" s="84">
        <f>IF(B50="", "", IFERROR(VLOOKUP(B50,'-2 года'!B:P, Настройки!$C$9, FALSE), 0))</f>
        <v>0</v>
      </c>
      <c r="E50" s="84">
        <f>IF(B50="", "", IFERROR(VLOOKUP(B50,'-2 года'!B:P, Настройки!$D$9, FALSE), 0))</f>
        <v>0</v>
      </c>
      <c r="F50" s="84">
        <f>IF(B50="", "", IFERROR(VLOOKUP(B50,'-1 год'!B:P, Настройки!$E$9, FALSE), 0))</f>
        <v>0</v>
      </c>
      <c r="G50" s="84">
        <f>IF(B50="", "", IFERROR(VLOOKUP(B50,Прогноз!B:K, Настройки!$F$9, FALSE), 0))</f>
        <v>0</v>
      </c>
      <c r="H50" s="84">
        <f>IF(B50="", "", IFERROR(VLOOKUP(B50,Прогноз!B:K, Настройки!$G$9, FALSE), 0))</f>
        <v>0</v>
      </c>
      <c r="I50" s="85" t="str">
        <f t="shared" si="0"/>
        <v/>
      </c>
    </row>
    <row r="51" spans="2:24" s="8" customFormat="1" x14ac:dyDescent="0.2">
      <c r="B51" s="86" t="s">
        <v>38</v>
      </c>
      <c r="C51" s="87" t="s">
        <v>37</v>
      </c>
      <c r="D51" s="84">
        <f>IF(B51="", "", IFERROR(VLOOKUP(B51,'-2 года'!B:P, Настройки!$C$9, FALSE), 0))</f>
        <v>0</v>
      </c>
      <c r="E51" s="84">
        <f>IF(B51="", "", IFERROR(VLOOKUP(B51,'-2 года'!B:P, Настройки!$D$9, FALSE), 0))</f>
        <v>0</v>
      </c>
      <c r="F51" s="84">
        <f>IF(B51="", "", IFERROR(VLOOKUP(B51,'-1 год'!B:P, Настройки!$E$9, FALSE), 0))</f>
        <v>1026550</v>
      </c>
      <c r="G51" s="84">
        <f>IF(B51="", "", IFERROR(VLOOKUP(B51,Прогноз!B:K, Настройки!$F$9, FALSE), 0))</f>
        <v>793415</v>
      </c>
      <c r="H51" s="84">
        <f>IF(B51="", "", IFERROR(VLOOKUP(B51,Прогноз!B:K, Настройки!$G$9, FALSE), 0))</f>
        <v>793415</v>
      </c>
      <c r="I51" s="85" t="str">
        <f t="shared" si="0"/>
        <v/>
      </c>
      <c r="X51" s="4"/>
    </row>
    <row r="52" spans="2:24" x14ac:dyDescent="0.2">
      <c r="B52" s="86" t="s">
        <v>84</v>
      </c>
      <c r="C52" s="87" t="s">
        <v>91</v>
      </c>
      <c r="D52" s="84">
        <f>IF(B52="", "", IFERROR(VLOOKUP(B52,'-2 года'!B:P, Настройки!$C$9, FALSE), 0))</f>
        <v>0</v>
      </c>
      <c r="E52" s="84">
        <f>IF(B52="", "", IFERROR(VLOOKUP(B52,'-2 года'!B:P, Настройки!$D$9, FALSE), 0))</f>
        <v>0</v>
      </c>
      <c r="F52" s="84">
        <f>IF(B52="", "", IFERROR(VLOOKUP(B52,'-1 год'!B:P, Настройки!$E$9, FALSE), 0))</f>
        <v>0</v>
      </c>
      <c r="G52" s="84">
        <f>IF(B52="", "", IFERROR(VLOOKUP(B52,Прогноз!B:K, Настройки!$F$9, FALSE), 0))</f>
        <v>0</v>
      </c>
      <c r="H52" s="84">
        <f>IF(B52="", "", IFERROR(VLOOKUP(B52,Прогноз!B:K, Настройки!$G$9, FALSE), 0))</f>
        <v>0</v>
      </c>
      <c r="I52" s="85" t="str">
        <f t="shared" si="0"/>
        <v/>
      </c>
    </row>
    <row r="53" spans="2:24" x14ac:dyDescent="0.2">
      <c r="B53" s="86" t="s">
        <v>75</v>
      </c>
      <c r="C53" s="87" t="s">
        <v>74</v>
      </c>
      <c r="D53" s="84">
        <f>IF(B53="", "", IFERROR(VLOOKUP(B53,'-2 года'!B:P, Настройки!$C$9, FALSE), 0))</f>
        <v>0</v>
      </c>
      <c r="E53" s="84">
        <f>IF(B53="", "", IFERROR(VLOOKUP(B53,'-2 года'!B:P, Настройки!$D$9, FALSE), 0))</f>
        <v>0</v>
      </c>
      <c r="F53" s="84">
        <f>IF(B53="", "", IFERROR(VLOOKUP(B53,'-1 год'!B:P, Настройки!$E$9, FALSE), 0))</f>
        <v>14251</v>
      </c>
      <c r="G53" s="84">
        <f>IF(B53="", "", IFERROR(VLOOKUP(B53,Прогноз!B:K, Настройки!$F$9, FALSE), 0))</f>
        <v>14866</v>
      </c>
      <c r="H53" s="84">
        <f>IF(B53="", "", IFERROR(VLOOKUP(B53,Прогноз!B:K, Настройки!$G$9, FALSE), 0))</f>
        <v>14866</v>
      </c>
      <c r="I53" s="85" t="str">
        <f t="shared" si="0"/>
        <v/>
      </c>
    </row>
    <row r="54" spans="2:24" x14ac:dyDescent="0.2">
      <c r="B54" s="90" t="s">
        <v>125</v>
      </c>
      <c r="C54" s="87" t="s">
        <v>90</v>
      </c>
      <c r="D54" s="91">
        <f>IF(B54="", "", IFERROR(VLOOKUP(B54,'-2 года'!B:P, Настройки!$C$9, FALSE), 0))</f>
        <v>0</v>
      </c>
      <c r="E54" s="84">
        <f>IF(B54="", "", IFERROR(VLOOKUP(B54,'-2 года'!B:P, Настройки!$D$9, FALSE), 0))</f>
        <v>0</v>
      </c>
      <c r="F54" s="84">
        <f>IF(B54="", "", IFERROR(VLOOKUP(B54,'-1 год'!B:P, Настройки!$E$9, FALSE), 0))</f>
        <v>0</v>
      </c>
      <c r="G54" s="84">
        <f>IF(B54="", "", IFERROR(VLOOKUP(B54,Прогноз!B:K, Настройки!$F$9, FALSE), 0))</f>
        <v>0</v>
      </c>
      <c r="H54" s="84">
        <f>IF(B54="", "", IFERROR(VLOOKUP(B54,Прогноз!B:K, Настройки!$G$9, FALSE), 0))</f>
        <v>0</v>
      </c>
      <c r="I54" s="85" t="str">
        <f t="shared" si="0"/>
        <v/>
      </c>
    </row>
    <row r="55" spans="2:24" x14ac:dyDescent="0.2">
      <c r="B55" s="75" t="s">
        <v>39</v>
      </c>
      <c r="C55" s="76" t="s">
        <v>166</v>
      </c>
      <c r="D55" s="77">
        <f>IF(B55="", "", IFERROR(VLOOKUP(B55,'-2 года'!B:P, Настройки!$C$9, FALSE), 0))</f>
        <v>0</v>
      </c>
      <c r="E55" s="77">
        <f>IF(B55="", "", IFERROR(VLOOKUP(B55,'-2 года'!B:P, Настройки!$D$9, FALSE), 0))</f>
        <v>0</v>
      </c>
      <c r="F55" s="77">
        <f>IF(B55="", "", IFERROR(VLOOKUP(B55,'-1 год'!B:P, Настройки!$E$9, FALSE), 0))</f>
        <v>1040801</v>
      </c>
      <c r="G55" s="77">
        <f>IF(B55="", "", IFERROR(VLOOKUP(B55,Прогноз!B:K, Настройки!$F$9, FALSE), 0))</f>
        <v>808281</v>
      </c>
      <c r="H55" s="77">
        <f>IF(B55="", "", IFERROR(VLOOKUP(B55,Прогноз!B:K, Настройки!$G$9, FALSE), 0))</f>
        <v>808281</v>
      </c>
      <c r="I55" s="89" t="str">
        <f t="shared" si="0"/>
        <v/>
      </c>
    </row>
    <row r="56" spans="2:24" x14ac:dyDescent="0.2">
      <c r="B56" s="88"/>
      <c r="C56" s="80" t="s">
        <v>162</v>
      </c>
      <c r="D56" s="70"/>
      <c r="E56" s="92">
        <f>E50+E44</f>
        <v>0</v>
      </c>
      <c r="F56" s="92">
        <f t="shared" ref="F56:H56" si="1">F50+F44</f>
        <v>223500</v>
      </c>
      <c r="G56" s="92">
        <f t="shared" si="1"/>
        <v>652935</v>
      </c>
      <c r="H56" s="92">
        <f t="shared" si="1"/>
        <v>652935</v>
      </c>
      <c r="I56" s="81" t="str">
        <f>IFERROR(IF((H56-G56)/G56&lt;&gt;0, (H56-G56)/G56, ""), "")</f>
        <v/>
      </c>
    </row>
    <row r="57" spans="2:24" x14ac:dyDescent="0.2">
      <c r="B57" s="93"/>
      <c r="C57" s="94" t="s">
        <v>92</v>
      </c>
      <c r="D57" s="92">
        <f>D48+D55</f>
        <v>0</v>
      </c>
      <c r="E57" s="92">
        <f>E48+E55</f>
        <v>0</v>
      </c>
      <c r="F57" s="92">
        <f>F48+F55</f>
        <v>1264301</v>
      </c>
      <c r="G57" s="92">
        <f>G48+G55</f>
        <v>1461216</v>
      </c>
      <c r="H57" s="92">
        <f>H48+H55</f>
        <v>1461216</v>
      </c>
      <c r="I57" s="81" t="str">
        <f>IFERROR(IF((H57-G57)/G57&lt;&gt;0, (H57-G57)/G57, ""), "")</f>
        <v/>
      </c>
    </row>
    <row r="58" spans="2:24" s="8" customFormat="1" x14ac:dyDescent="0.2">
      <c r="B58" s="75">
        <v>1700</v>
      </c>
      <c r="C58" s="95" t="s">
        <v>93</v>
      </c>
      <c r="D58" s="77">
        <f>D55+D48+D42</f>
        <v>0</v>
      </c>
      <c r="E58" s="77">
        <f>E55+E48+E42</f>
        <v>0</v>
      </c>
      <c r="F58" s="77">
        <f>F55+F48+F42</f>
        <v>4632687</v>
      </c>
      <c r="G58" s="77">
        <f>G55+G48+G42</f>
        <v>4834988</v>
      </c>
      <c r="H58" s="77">
        <f>H55+H48+H42</f>
        <v>5034988</v>
      </c>
      <c r="I58" s="89">
        <f>IFERROR(IF((H58-G58)/G58&lt;&gt;0, (H58-G58)/G58, ""), "")</f>
        <v>4.1365149199956652E-2</v>
      </c>
      <c r="X58" s="4"/>
    </row>
    <row r="59" spans="2:24" x14ac:dyDescent="0.2">
      <c r="B59" s="96"/>
      <c r="C59" s="97" t="s">
        <v>135</v>
      </c>
      <c r="D59" s="98" t="str">
        <f>IF((D58-D13)=0, "", (D58-D13))</f>
        <v/>
      </c>
      <c r="E59" s="98" t="str">
        <f>IF((E58-E13)=0, "", (E58-E13))</f>
        <v/>
      </c>
      <c r="F59" s="98" t="str">
        <f>IF((F58-F13)=0, "", (F58-F13))</f>
        <v/>
      </c>
      <c r="G59" s="98" t="str">
        <f>IF((G58-G13)=0, "", (G58-G13))</f>
        <v/>
      </c>
      <c r="H59" s="98" t="str">
        <f>IF((H58-H13)=0, "", (H58-H13))</f>
        <v/>
      </c>
      <c r="I59" s="99" t="str">
        <f>IFERROR(IF((H59-G59)/G59&lt;&gt;0, (H59-G59)/G59, ""), "")</f>
        <v/>
      </c>
    </row>
    <row r="60" spans="2:24" x14ac:dyDescent="0.2">
      <c r="B60" s="68" t="s">
        <v>104</v>
      </c>
      <c r="C60" s="69"/>
      <c r="D60" s="84"/>
      <c r="E60" s="84"/>
      <c r="F60" s="84"/>
      <c r="G60" s="84"/>
      <c r="H60" s="84"/>
      <c r="I60" s="85" t="str">
        <f>IFERROR(IF((H60-G60)/G60&lt;&gt;0, (H60-G60)/G60, ""), "")</f>
        <v/>
      </c>
    </row>
    <row r="61" spans="2:24" x14ac:dyDescent="0.2">
      <c r="B61" s="71" t="s">
        <v>1</v>
      </c>
      <c r="C61" s="72" t="s">
        <v>95</v>
      </c>
      <c r="D61" s="73"/>
      <c r="E61" s="74" t="str">
        <f>Настройки!D7</f>
        <v>(не отображается)</v>
      </c>
      <c r="F61" s="73">
        <f>Настройки!E7</f>
        <v>2018</v>
      </c>
      <c r="G61" s="73" t="str">
        <f>Настройки!F7</f>
        <v>2019 (прогноз)</v>
      </c>
      <c r="H61" s="73" t="str">
        <f>Настройки!G6</f>
        <v>Прогноз</v>
      </c>
      <c r="I61" s="73" t="s">
        <v>106</v>
      </c>
    </row>
    <row r="62" spans="2:24" x14ac:dyDescent="0.2">
      <c r="B62" s="82"/>
      <c r="C62" s="83" t="s">
        <v>40</v>
      </c>
      <c r="D62" s="84" t="str">
        <f>IF(B62="", "", IFERROR(VLOOKUP(B62,'-2 года'!B:P, Настройки!$C$9, FALSE), 0))</f>
        <v/>
      </c>
      <c r="E62" s="84" t="str">
        <f>IF(B62="", "", IFERROR(VLOOKUP(B62,'-2 года'!B:P, Настройки!$D$9, FALSE), 0))</f>
        <v/>
      </c>
      <c r="F62" s="84" t="str">
        <f>IF(B62="", "", IFERROR(VLOOKUP(B62,'-1 год'!B:P, Настройки!$E$9, FALSE), 0))</f>
        <v/>
      </c>
      <c r="G62" s="84" t="str">
        <f>IF(B62="", "", IFERROR(VLOOKUP(B62,Прогноз!B:K, Настройки!$F$9, FALSE), 0))</f>
        <v/>
      </c>
      <c r="H62" s="84" t="str">
        <f>IF(B62="", "", IFERROR(VLOOKUP(B62,Прогноз!B:K, Настройки!$G$9, FALSE), 0))</f>
        <v/>
      </c>
      <c r="I62" s="85" t="str">
        <f t="shared" ref="I62:I87" si="2">IFERROR(IF((H62-G62)/G62&lt;&gt;0, (H62-G62)/G62, ""), "")</f>
        <v/>
      </c>
    </row>
    <row r="63" spans="2:24" x14ac:dyDescent="0.2">
      <c r="B63" s="86" t="s">
        <v>42</v>
      </c>
      <c r="C63" s="87" t="s">
        <v>41</v>
      </c>
      <c r="D63" s="84">
        <f>IF(B63="", "", IFERROR(VLOOKUP(B63,'-2 года'!B:P, Настройки!$C$9, FALSE), 0))</f>
        <v>0</v>
      </c>
      <c r="E63" s="84">
        <f>IF(B63="", "", IFERROR(VLOOKUP(B63,'-2 года'!B:P, Настройки!$D$9, FALSE), 0))</f>
        <v>0</v>
      </c>
      <c r="F63" s="84">
        <f>IF(B63="", "", IFERROR(VLOOKUP(B63,'-1 год'!B:P, Настройки!$E$9, FALSE), 0))</f>
        <v>2477584</v>
      </c>
      <c r="G63" s="84">
        <f>IF(B63="", "", IFERROR(VLOOKUP(B63,Прогноз!B:K, Настройки!$F$9, FALSE), 0))</f>
        <v>2407842</v>
      </c>
      <c r="H63" s="84">
        <f>IF(B63="", "", IFERROR(VLOOKUP(B63,Прогноз!B:K, Настройки!$G$9, FALSE), 0))</f>
        <v>2407842</v>
      </c>
      <c r="I63" s="85" t="str">
        <f t="shared" si="2"/>
        <v/>
      </c>
    </row>
    <row r="64" spans="2:24" x14ac:dyDescent="0.2">
      <c r="B64" s="86" t="s">
        <v>44</v>
      </c>
      <c r="C64" s="87" t="s">
        <v>43</v>
      </c>
      <c r="D64" s="84">
        <f>IF(B64="", "", IFERROR(VLOOKUP(B64,'-2 года'!B:P, Настройки!$C$9, FALSE), 0))</f>
        <v>0</v>
      </c>
      <c r="E64" s="84">
        <f>IF(B64="", "", IFERROR(VLOOKUP(B64,'-2 года'!B:P, Настройки!$D$9, FALSE), 0))</f>
        <v>0</v>
      </c>
      <c r="F64" s="84">
        <f>IF(B64="", "", IFERROR(VLOOKUP(B64,'-1 год'!B:P, Настройки!$E$9, FALSE), 0))</f>
        <v>1577299</v>
      </c>
      <c r="G64" s="84">
        <f>IF(B64="", "", IFERROR(VLOOKUP(B64,Прогноз!B:K, Настройки!$F$9, FALSE), 0))</f>
        <v>1475710</v>
      </c>
      <c r="H64" s="84">
        <f>IF(B64="", "", IFERROR(VLOOKUP(B64,Прогноз!B:K, Настройки!$G$9, FALSE), 0))</f>
        <v>1475710</v>
      </c>
      <c r="I64" s="85" t="str">
        <f t="shared" si="2"/>
        <v/>
      </c>
    </row>
    <row r="65" spans="2:9" x14ac:dyDescent="0.2">
      <c r="B65" s="75" t="s">
        <v>46</v>
      </c>
      <c r="C65" s="95" t="s">
        <v>45</v>
      </c>
      <c r="D65" s="77">
        <f>IF(B65="", "", IFERROR(VLOOKUP(B65,'-2 года'!B:P, Настройки!$C$9, FALSE), 0))</f>
        <v>0</v>
      </c>
      <c r="E65" s="77">
        <f>IF(B65="", "", IFERROR(VLOOKUP(B65,'-2 года'!B:P, Настройки!$D$9, FALSE), 0))</f>
        <v>0</v>
      </c>
      <c r="F65" s="77">
        <f>IF(B65="", "", IFERROR(VLOOKUP(B65,'-1 год'!B:P, Настройки!$E$9, FALSE), 0))</f>
        <v>900285</v>
      </c>
      <c r="G65" s="77">
        <f>IF(B65="", "", IFERROR(VLOOKUP(B65,Прогноз!B:K, Настройки!$F$9, FALSE), 0))</f>
        <v>932132</v>
      </c>
      <c r="H65" s="77">
        <f>H63-H64</f>
        <v>932132</v>
      </c>
      <c r="I65" s="89" t="str">
        <f t="shared" si="2"/>
        <v/>
      </c>
    </row>
    <row r="66" spans="2:9" x14ac:dyDescent="0.2">
      <c r="B66" s="86" t="s">
        <v>48</v>
      </c>
      <c r="C66" s="87" t="s">
        <v>47</v>
      </c>
      <c r="D66" s="84">
        <f>IF(B66="", "", IFERROR(VLOOKUP(B66,'-2 года'!B:P, Настройки!$C$9, FALSE), 0))</f>
        <v>0</v>
      </c>
      <c r="E66" s="84">
        <f>IF(B66="", "", IFERROR(VLOOKUP(B66,'-2 года'!B:P, Настройки!$D$9, FALSE), 0))</f>
        <v>0</v>
      </c>
      <c r="F66" s="84">
        <f>IF(B66="", "", IFERROR(VLOOKUP(B66,'-1 год'!B:P, Настройки!$E$9, FALSE), 0))</f>
        <v>22441</v>
      </c>
      <c r="G66" s="84">
        <f>IF(B66="", "", IFERROR(VLOOKUP(B66,Прогноз!B:K, Настройки!$F$9, FALSE), 0))</f>
        <v>24313</v>
      </c>
      <c r="H66" s="84">
        <f>IF(B66="", "", IFERROR(VLOOKUP(B66,Прогноз!B:K, Настройки!$G$9, FALSE), 0))</f>
        <v>24313</v>
      </c>
      <c r="I66" s="85" t="str">
        <f t="shared" si="2"/>
        <v/>
      </c>
    </row>
    <row r="67" spans="2:9" x14ac:dyDescent="0.2">
      <c r="B67" s="86" t="s">
        <v>96</v>
      </c>
      <c r="C67" s="87" t="s">
        <v>99</v>
      </c>
      <c r="D67" s="84">
        <f>IF(B67="", "", IFERROR(VLOOKUP(B67,'-2 года'!B:P, Настройки!$C$9, FALSE), 0))</f>
        <v>0</v>
      </c>
      <c r="E67" s="84">
        <f>IF(B67="", "", IFERROR(VLOOKUP(B67,'-2 года'!B:P, Настройки!$D$9, FALSE), 0))</f>
        <v>0</v>
      </c>
      <c r="F67" s="84">
        <f>IF(B67="", "", IFERROR(VLOOKUP(B67,'-1 год'!B:P, Настройки!$E$9, FALSE), 0))</f>
        <v>0</v>
      </c>
      <c r="G67" s="84">
        <f>IF(B67="", "", IFERROR(VLOOKUP(B67,Прогноз!B:K, Настройки!$F$9, FALSE), 0))</f>
        <v>0</v>
      </c>
      <c r="H67" s="84">
        <f>IF(B67="", "", IFERROR(VLOOKUP(B67,Прогноз!B:K, Настройки!$G$9, FALSE), 0))</f>
        <v>0</v>
      </c>
      <c r="I67" s="85" t="str">
        <f t="shared" si="2"/>
        <v/>
      </c>
    </row>
    <row r="68" spans="2:9" x14ac:dyDescent="0.2">
      <c r="B68" s="75" t="s">
        <v>50</v>
      </c>
      <c r="C68" s="95" t="s">
        <v>49</v>
      </c>
      <c r="D68" s="77">
        <f>IF(B68="", "", IFERROR(VLOOKUP(B68,'-2 года'!B:P, Настройки!$C$9, FALSE), 0))</f>
        <v>0</v>
      </c>
      <c r="E68" s="77">
        <f>IF(B68="", "", IFERROR(VLOOKUP(B68,'-2 года'!B:P, Настройки!$D$9, FALSE), 0))</f>
        <v>0</v>
      </c>
      <c r="F68" s="77">
        <f>IF(B68="", "", IFERROR(VLOOKUP(B68,'-1 год'!B:P, Настройки!$E$9, FALSE), 0))</f>
        <v>877844</v>
      </c>
      <c r="G68" s="77">
        <f>IF(B68="", "", IFERROR(VLOOKUP(B68,Прогноз!B:K, Настройки!$F$9, FALSE), 0))</f>
        <v>907819</v>
      </c>
      <c r="H68" s="77">
        <f>H65-H66-H67</f>
        <v>907819</v>
      </c>
      <c r="I68" s="89" t="str">
        <f t="shared" si="2"/>
        <v/>
      </c>
    </row>
    <row r="69" spans="2:9" x14ac:dyDescent="0.2">
      <c r="B69" s="82"/>
      <c r="C69" s="83"/>
      <c r="D69" s="84" t="str">
        <f>IF(B69="", "", IFERROR(VLOOKUP(B69,'-2 года'!B:P, Настройки!$C$9, FALSE), 0))</f>
        <v/>
      </c>
      <c r="E69" s="84" t="str">
        <f>IF(B69="", "", IFERROR(VLOOKUP(B69,'-2 года'!B:P, Настройки!$D$9, FALSE), 0))</f>
        <v/>
      </c>
      <c r="F69" s="84" t="str">
        <f>IF(B69="", "", IFERROR(VLOOKUP(B69,'-1 год'!B:P, Настройки!$E$9, FALSE), 0))</f>
        <v/>
      </c>
      <c r="G69" s="84" t="str">
        <f>IF(B69="", "", IFERROR(VLOOKUP(B69,Прогноз!B:K, Настройки!$F$9, FALSE), 0))</f>
        <v/>
      </c>
      <c r="H69" s="84" t="str">
        <f>IF(B69="", "", IFERROR(VLOOKUP(B69,Прогноз!B:K, Настройки!$G$9, FALSE), 0))</f>
        <v/>
      </c>
      <c r="I69" s="85" t="str">
        <f t="shared" si="2"/>
        <v/>
      </c>
    </row>
    <row r="70" spans="2:9" x14ac:dyDescent="0.2">
      <c r="B70" s="82"/>
      <c r="C70" s="83" t="s">
        <v>51</v>
      </c>
      <c r="D70" s="84" t="str">
        <f>IF(B70="", "", IFERROR(VLOOKUP(B70,'-2 года'!B:P, Настройки!$C$9, FALSE), 0))</f>
        <v/>
      </c>
      <c r="E70" s="84" t="str">
        <f>IF(B70="", "", IFERROR(VLOOKUP(B70,'-2 года'!B:P, Настройки!$D$9, FALSE), 0))</f>
        <v/>
      </c>
      <c r="F70" s="84" t="str">
        <f>IF(B70="", "", IFERROR(VLOOKUP(B70,'-1 год'!B:P, Настройки!$E$9, FALSE), 0))</f>
        <v/>
      </c>
      <c r="G70" s="84" t="str">
        <f>IF(B70="", "", IFERROR(VLOOKUP(B70,Прогноз!B:K, Настройки!$F$9, FALSE), 0))</f>
        <v/>
      </c>
      <c r="H70" s="84" t="str">
        <f>IF(B70="", "", IFERROR(VLOOKUP(B70,Прогноз!B:K, Настройки!$G$9, FALSE), 0))</f>
        <v/>
      </c>
      <c r="I70" s="85" t="str">
        <f t="shared" si="2"/>
        <v/>
      </c>
    </row>
    <row r="71" spans="2:9" x14ac:dyDescent="0.2">
      <c r="B71" s="86" t="s">
        <v>97</v>
      </c>
      <c r="C71" s="87" t="s">
        <v>100</v>
      </c>
      <c r="D71" s="84">
        <f>IF(B71="", "", IFERROR(VLOOKUP(B71,'-2 года'!B:P, Настройки!$C$9, FALSE), 0))</f>
        <v>0</v>
      </c>
      <c r="E71" s="84">
        <f>IF(B71="", "", IFERROR(VLOOKUP(B71,'-2 года'!B:P, Настройки!$D$9, FALSE), 0))</f>
        <v>0</v>
      </c>
      <c r="F71" s="84">
        <f>IF(B71="", "", IFERROR(VLOOKUP(B71,'-1 год'!B:P, Настройки!$E$9, FALSE), 0))</f>
        <v>0</v>
      </c>
      <c r="G71" s="84">
        <f>IF(B71="", "", IFERROR(VLOOKUP(B71,Прогноз!B:K, Настройки!$F$9, FALSE), 0))</f>
        <v>0</v>
      </c>
      <c r="H71" s="84">
        <f>IF(B71="", "", IFERROR(VLOOKUP(B71,Прогноз!B:K, Настройки!$G$9, FALSE), 0))</f>
        <v>0</v>
      </c>
      <c r="I71" s="85" t="str">
        <f t="shared" si="2"/>
        <v/>
      </c>
    </row>
    <row r="72" spans="2:9" x14ac:dyDescent="0.2">
      <c r="B72" s="86" t="s">
        <v>98</v>
      </c>
      <c r="C72" s="87" t="s">
        <v>101</v>
      </c>
      <c r="D72" s="84">
        <f>IF(B72="", "", IFERROR(VLOOKUP(B72,'-2 года'!B:P, Настройки!$C$9, FALSE), 0))</f>
        <v>0</v>
      </c>
      <c r="E72" s="84">
        <f>IF(B72="", "", IFERROR(VLOOKUP(B72,'-2 года'!B:P, Настройки!$D$9, FALSE), 0))</f>
        <v>0</v>
      </c>
      <c r="F72" s="84">
        <f>IF(B72="", "", IFERROR(VLOOKUP(B72,'-1 год'!B:P, Настройки!$E$9, FALSE), 0))</f>
        <v>0</v>
      </c>
      <c r="G72" s="84">
        <f>IF(B72="", "", IFERROR(VLOOKUP(B72,Прогноз!B:K, Настройки!$F$9, FALSE), 0))</f>
        <v>0</v>
      </c>
      <c r="H72" s="84">
        <f>IF(B72="", "", IFERROR(VLOOKUP(B72,Прогноз!B:K, Настройки!$G$9, FALSE), 0))</f>
        <v>0</v>
      </c>
      <c r="I72" s="85" t="str">
        <f t="shared" si="2"/>
        <v/>
      </c>
    </row>
    <row r="73" spans="2:9" x14ac:dyDescent="0.2">
      <c r="B73" s="86" t="s">
        <v>53</v>
      </c>
      <c r="C73" s="87" t="s">
        <v>52</v>
      </c>
      <c r="D73" s="84">
        <f>IF(B73="", "", IFERROR(VLOOKUP(B73,'-2 года'!B:P, Настройки!$C$9, FALSE), 0))</f>
        <v>0</v>
      </c>
      <c r="E73" s="84">
        <f>IF(B73="", "", IFERROR(VLOOKUP(B73,'-2 года'!B:P, Настройки!$D$9, FALSE), 0))</f>
        <v>0</v>
      </c>
      <c r="F73" s="84">
        <f>IF(B73="", "", IFERROR(VLOOKUP(B73,'-1 год'!B:P, Настройки!$E$9, FALSE), 0))</f>
        <v>44041</v>
      </c>
      <c r="G73" s="84">
        <f>IF(B73="", "", IFERROR(VLOOKUP(B73,Прогноз!B:K, Настройки!$F$9, FALSE), 0))</f>
        <v>87177</v>
      </c>
      <c r="H73" s="84">
        <f>IF(B73="", "", IFERROR(VLOOKUP(B73,Прогноз!B:K, Настройки!$G$9, FALSE), 0))</f>
        <v>87177</v>
      </c>
      <c r="I73" s="85" t="str">
        <f t="shared" si="2"/>
        <v/>
      </c>
    </row>
    <row r="74" spans="2:9" x14ac:dyDescent="0.2">
      <c r="B74" s="86" t="s">
        <v>55</v>
      </c>
      <c r="C74" s="87" t="s">
        <v>54</v>
      </c>
      <c r="D74" s="84">
        <f>IF(B74="", "", IFERROR(VLOOKUP(B74,'-2 года'!B:P, Настройки!$C$9, FALSE), 0))</f>
        <v>0</v>
      </c>
      <c r="E74" s="84">
        <f>IF(B74="", "", IFERROR(VLOOKUP(B74,'-2 года'!B:P, Настройки!$D$9, FALSE), 0))</f>
        <v>0</v>
      </c>
      <c r="F74" s="84">
        <f>IF(B74="", "", IFERROR(VLOOKUP(B74,'-1 год'!B:P, Настройки!$E$9, FALSE), 0))</f>
        <v>18886</v>
      </c>
      <c r="G74" s="84">
        <f>IF(B74="", "", IFERROR(VLOOKUP(B74,Прогноз!B:K, Настройки!$F$9, FALSE), 0))</f>
        <v>12249</v>
      </c>
      <c r="H74" s="84">
        <f>IF(B74="", "", IFERROR(VLOOKUP(B74,Прогноз!B:K, Настройки!$G$9, FALSE), 0))+B6</f>
        <v>212249</v>
      </c>
      <c r="I74" s="85">
        <f t="shared" si="2"/>
        <v>16.327863499061149</v>
      </c>
    </row>
    <row r="75" spans="2:9" x14ac:dyDescent="0.2">
      <c r="B75" s="86" t="s">
        <v>57</v>
      </c>
      <c r="C75" s="87" t="s">
        <v>56</v>
      </c>
      <c r="D75" s="84">
        <f>IF(B75="", "", IFERROR(VLOOKUP(B75,'-2 года'!B:P, Настройки!$C$9, FALSE), 0))</f>
        <v>0</v>
      </c>
      <c r="E75" s="84">
        <f>IF(B75="", "", IFERROR(VLOOKUP(B75,'-2 года'!B:P, Настройки!$D$9, FALSE), 0))</f>
        <v>0</v>
      </c>
      <c r="F75" s="84">
        <f>IF(B75="", "", IFERROR(VLOOKUP(B75,'-1 год'!B:P, Настройки!$E$9, FALSE), 0))</f>
        <v>45804</v>
      </c>
      <c r="G75" s="84">
        <f>IF(B75="", "", IFERROR(VLOOKUP(B75,Прогноз!B:K, Настройки!$F$9, FALSE), 0))</f>
        <v>292943</v>
      </c>
      <c r="H75" s="84">
        <f>IF(B75="", "", IFERROR(VLOOKUP(B75,Прогноз!B:K, Настройки!$G$9, FALSE), 0))</f>
        <v>292943</v>
      </c>
      <c r="I75" s="85" t="str">
        <f t="shared" si="2"/>
        <v/>
      </c>
    </row>
    <row r="76" spans="2:9" x14ac:dyDescent="0.2">
      <c r="B76" s="75" t="s">
        <v>59</v>
      </c>
      <c r="C76" s="95" t="s">
        <v>58</v>
      </c>
      <c r="D76" s="77">
        <f>IF(B76="", "", IFERROR(VLOOKUP(B76,'-2 года'!B:P, Настройки!$C$9, FALSE), 0))</f>
        <v>0</v>
      </c>
      <c r="E76" s="77">
        <f>IF(B76="", "", IFERROR(VLOOKUP(B76,'-2 года'!B:P, Настройки!$D$9, FALSE), 0))</f>
        <v>0</v>
      </c>
      <c r="F76" s="77">
        <f>IF(B76="", "", IFERROR(VLOOKUP(B76,'-1 год'!B:P, Настройки!$E$9, FALSE), 0))</f>
        <v>806885</v>
      </c>
      <c r="G76" s="77">
        <f>IF(B76="", "", IFERROR(VLOOKUP(B76,Прогноз!B:K, Настройки!$F$9, FALSE), 0))</f>
        <v>539948</v>
      </c>
      <c r="H76" s="77">
        <f>H68+H71+H72-H73+H74-H75</f>
        <v>739948</v>
      </c>
      <c r="I76" s="89">
        <f t="shared" si="2"/>
        <v>0.37040603910006148</v>
      </c>
    </row>
    <row r="77" spans="2:9" x14ac:dyDescent="0.2">
      <c r="B77" s="86" t="s">
        <v>61</v>
      </c>
      <c r="C77" s="87" t="s">
        <v>60</v>
      </c>
      <c r="D77" s="84">
        <f>IF(B77="", "", IFERROR(VLOOKUP(B77,'-2 года'!B:P, Настройки!$C$9, FALSE), 0))</f>
        <v>0</v>
      </c>
      <c r="E77" s="84">
        <f>IF(B77="", "", IFERROR(VLOOKUP(B77,'-2 года'!B:P, Настройки!$D$9, FALSE), 0))</f>
        <v>0</v>
      </c>
      <c r="F77" s="84">
        <f>IF(B77="", "", IFERROR(VLOOKUP(B77,'-1 год'!B:P, Настройки!$E$9, FALSE), 0))</f>
        <v>153482</v>
      </c>
      <c r="G77" s="84">
        <f>IF(B77="", "", IFERROR(VLOOKUP(B77,Прогноз!B:K, Настройки!$F$9, FALSE), 0))</f>
        <v>102877</v>
      </c>
      <c r="H77" s="84">
        <f>IF(B77="", "", IFERROR(VLOOKUP(B77,Прогноз!B:K, Настройки!$G$9, FALSE), 0))</f>
        <v>102877</v>
      </c>
      <c r="I77" s="85" t="str">
        <f t="shared" si="2"/>
        <v/>
      </c>
    </row>
    <row r="78" spans="2:9" x14ac:dyDescent="0.2">
      <c r="B78" s="86" t="s">
        <v>63</v>
      </c>
      <c r="C78" s="87" t="s">
        <v>62</v>
      </c>
      <c r="D78" s="84">
        <f>IF(B78="", "", IFERROR(VLOOKUP(B78,'-2 года'!B:P, Настройки!$C$9, FALSE), 0))</f>
        <v>0</v>
      </c>
      <c r="E78" s="84">
        <f>IF(B78="", "", IFERROR(VLOOKUP(B78,'-2 года'!B:P, Настройки!$D$9, FALSE), 0))</f>
        <v>0</v>
      </c>
      <c r="F78" s="84">
        <f>IF(B78="", "", IFERROR(VLOOKUP(B78,'-1 год'!B:P, Настройки!$E$9, FALSE), 0))</f>
        <v>0</v>
      </c>
      <c r="G78" s="84">
        <f>IF(B78="", "", IFERROR(VLOOKUP(B78,Прогноз!B:K, Настройки!$F$9, FALSE), 0))</f>
        <v>0</v>
      </c>
      <c r="H78" s="84">
        <f>IF(B78="", "", IFERROR(VLOOKUP(B78,Прогноз!B:K, Настройки!$G$9, FALSE), 0))</f>
        <v>0</v>
      </c>
      <c r="I78" s="85" t="str">
        <f t="shared" si="2"/>
        <v/>
      </c>
    </row>
    <row r="79" spans="2:9" x14ac:dyDescent="0.2">
      <c r="B79" s="86" t="s">
        <v>76</v>
      </c>
      <c r="C79" s="87" t="s">
        <v>102</v>
      </c>
      <c r="D79" s="84">
        <f>IF(B79="", "", IFERROR(VLOOKUP(B79,'-2 года'!B:P, Настройки!$C$9, FALSE), 0))</f>
        <v>0</v>
      </c>
      <c r="E79" s="84">
        <f>IF(B79="", "", IFERROR(VLOOKUP(B79,'-2 года'!B:P, Настройки!$D$9, FALSE), 0))</f>
        <v>0</v>
      </c>
      <c r="F79" s="84">
        <f>IF(B79="", "", IFERROR(VLOOKUP(B79,'-1 год'!B:P, Настройки!$E$9, FALSE), 0))</f>
        <v>0</v>
      </c>
      <c r="G79" s="84">
        <f>IF(B79="", "", IFERROR(VLOOKUP(B79,Прогноз!B:K, Настройки!$F$9, FALSE), 0))</f>
        <v>0</v>
      </c>
      <c r="H79" s="84">
        <f>IF(B79="", "", IFERROR(VLOOKUP(B79,Прогноз!B:K, Настройки!$G$9, FALSE), 0))</f>
        <v>0</v>
      </c>
      <c r="I79" s="85" t="str">
        <f t="shared" si="2"/>
        <v/>
      </c>
    </row>
    <row r="80" spans="2:9" x14ac:dyDescent="0.2">
      <c r="B80" s="86" t="s">
        <v>64</v>
      </c>
      <c r="C80" s="87" t="s">
        <v>103</v>
      </c>
      <c r="D80" s="84">
        <f>IF(B80="", "", IFERROR(VLOOKUP(B80,'-2 года'!B:P, Настройки!$C$9, FALSE), 0))</f>
        <v>0</v>
      </c>
      <c r="E80" s="84">
        <f>IF(B80="", "", IFERROR(VLOOKUP(B80,'-2 года'!B:P, Настройки!$D$9, FALSE), 0))</f>
        <v>0</v>
      </c>
      <c r="F80" s="84">
        <f>IF(B80="", "", IFERROR(VLOOKUP(B80,'-1 год'!B:P, Настройки!$E$9, FALSE), 0))</f>
        <v>0</v>
      </c>
      <c r="G80" s="84">
        <f>IF(B80="", "", IFERROR(VLOOKUP(B80,Прогноз!B:K, Настройки!$F$9, FALSE), 0))</f>
        <v>0</v>
      </c>
      <c r="H80" s="84">
        <f>IF(B80="", "", IFERROR(VLOOKUP(B80,Прогноз!B:K, Настройки!$G$9, FALSE), 0))</f>
        <v>0</v>
      </c>
      <c r="I80" s="85" t="str">
        <f t="shared" si="2"/>
        <v/>
      </c>
    </row>
    <row r="81" spans="2:9" x14ac:dyDescent="0.2">
      <c r="B81" s="86" t="s">
        <v>66</v>
      </c>
      <c r="C81" s="87" t="s">
        <v>65</v>
      </c>
      <c r="D81" s="84">
        <f>IF(B81="", "", IFERROR(VLOOKUP(B81,'-2 года'!B:P, Настройки!$C$9, FALSE), 0))</f>
        <v>0</v>
      </c>
      <c r="E81" s="84">
        <f>IF(B81="", "", IFERROR(VLOOKUP(B81,'-2 года'!B:P, Настройки!$D$9, FALSE), 0))</f>
        <v>0</v>
      </c>
      <c r="F81" s="84">
        <f>IF(B81="", "", IFERROR(VLOOKUP(B81,'-1 год'!B:P, Настройки!$E$9, FALSE), 0))</f>
        <v>-157</v>
      </c>
      <c r="G81" s="84">
        <f>IF(B81="", "", IFERROR(VLOOKUP(B81,Прогноз!B:K, Настройки!$F$9, FALSE), 0))</f>
        <v>-1685</v>
      </c>
      <c r="H81" s="84">
        <f>IF(B81="", "", IFERROR(VLOOKUP(B81,Прогноз!B:K, Настройки!$G$9, FALSE), 0))</f>
        <v>-1685</v>
      </c>
      <c r="I81" s="85" t="str">
        <f t="shared" si="2"/>
        <v/>
      </c>
    </row>
    <row r="82" spans="2:9" x14ac:dyDescent="0.2">
      <c r="B82" s="75" t="s">
        <v>68</v>
      </c>
      <c r="C82" s="95" t="s">
        <v>67</v>
      </c>
      <c r="D82" s="77">
        <f>IF(B82="", "", IFERROR(VLOOKUP(B82,'-2 года'!B:P, Настройки!$C$9, FALSE), 0))</f>
        <v>0</v>
      </c>
      <c r="E82" s="77">
        <f>IF(B82="", "", IFERROR(VLOOKUP(B82,'-2 года'!B:P, Настройки!$D$9, FALSE), 0))</f>
        <v>0</v>
      </c>
      <c r="F82" s="77">
        <f>IF(B82="", "", IFERROR(VLOOKUP(B82,'-1 год'!B:P, Настройки!$E$9, FALSE), 0))</f>
        <v>653246</v>
      </c>
      <c r="G82" s="77">
        <f>IF(B82="", "", IFERROR(VLOOKUP(B82,Прогноз!B:K, Настройки!$F$9, FALSE), 0))</f>
        <v>435386</v>
      </c>
      <c r="H82" s="77">
        <f>H76-H77+H79+H80+H81</f>
        <v>635386</v>
      </c>
      <c r="I82" s="89">
        <f t="shared" si="2"/>
        <v>0.45936249672704221</v>
      </c>
    </row>
    <row r="83" spans="2:9" x14ac:dyDescent="0.2">
      <c r="B83" s="82" t="s">
        <v>132</v>
      </c>
      <c r="C83" s="87" t="s">
        <v>107</v>
      </c>
      <c r="D83" s="84">
        <f>IF(B83="", "", IFERROR(VLOOKUP(B83,'-2 года'!B:P, Настройки!$C$9, FALSE), 0))</f>
        <v>0</v>
      </c>
      <c r="E83" s="84">
        <f>IF(B83="", "", IFERROR(VLOOKUP(B83,'-2 года'!B:P, Настройки!$D$9, FALSE), 0))</f>
        <v>0</v>
      </c>
      <c r="F83" s="84">
        <f>IF(B83="", "", IFERROR(VLOOKUP(B83,'-1 год'!B:P, Настройки!$E$9, FALSE), 0))</f>
        <v>0</v>
      </c>
      <c r="G83" s="84">
        <f>IF(B83="", "", IFERROR(VLOOKUP(B83,Прогноз!B:K, Настройки!$F$9, FALSE), 0))</f>
        <v>0</v>
      </c>
      <c r="H83" s="84">
        <f>IF(B83="", "", IFERROR(VLOOKUP(B83,Прогноз!B:K, Настройки!$G$9, FALSE), 0))</f>
        <v>0</v>
      </c>
      <c r="I83" s="85" t="str">
        <f t="shared" si="2"/>
        <v/>
      </c>
    </row>
    <row r="84" spans="2:9" x14ac:dyDescent="0.2">
      <c r="B84" s="82" t="s">
        <v>133</v>
      </c>
      <c r="C84" s="87" t="s">
        <v>134</v>
      </c>
      <c r="D84" s="84">
        <f>IF(B84="", "", IFERROR(VLOOKUP(B84,'-2 года'!B:P, Настройки!$C$9, FALSE), 0))</f>
        <v>0</v>
      </c>
      <c r="E84" s="84">
        <f>IF(B84="", "", IFERROR(VLOOKUP(B84,'-2 года'!B:P, Настройки!$D$9, FALSE), 0))</f>
        <v>0</v>
      </c>
      <c r="F84" s="84">
        <f>IF(B84="", "", IFERROR(VLOOKUP(B84,'-1 год'!B:P, Настройки!$E$9, FALSE), 0))</f>
        <v>0</v>
      </c>
      <c r="G84" s="84">
        <f>IF(B84="", "", IFERROR(VLOOKUP(B84,Прогноз!B:K, Настройки!$F$9, FALSE), 0))</f>
        <v>0</v>
      </c>
      <c r="H84" s="84">
        <f>IF(B84="", "", IFERROR(VLOOKUP(B84,Прогноз!B:K, Настройки!$G$9, FALSE), 0))</f>
        <v>0</v>
      </c>
      <c r="I84" s="85" t="str">
        <f t="shared" si="2"/>
        <v/>
      </c>
    </row>
    <row r="85" spans="2:9" x14ac:dyDescent="0.2">
      <c r="B85" s="82"/>
      <c r="C85" s="83" t="s">
        <v>69</v>
      </c>
      <c r="D85" s="84" t="str">
        <f>IF(B85="", "", IFERROR(VLOOKUP(B85,'-2 года'!B:P, Настройки!$C$9, FALSE), 0))</f>
        <v/>
      </c>
      <c r="E85" s="84" t="str">
        <f>IF(B85="", "", IFERROR(VLOOKUP(B85,'-2 года'!B:P, Настройки!$D$9, FALSE), 0))</f>
        <v/>
      </c>
      <c r="F85" s="84" t="str">
        <f>IF(B85="", "", IFERROR(VLOOKUP(B85,'-1 год'!B:P, Настройки!$E$9, FALSE), 0))</f>
        <v/>
      </c>
      <c r="G85" s="84" t="str">
        <f>IF(B85="", "", IFERROR(VLOOKUP(B85,Прогноз!B:K, Настройки!$F$9, FALSE), 0))</f>
        <v/>
      </c>
      <c r="H85" s="84" t="str">
        <f>IF(B85="", "", IFERROR(VLOOKUP(B85,Прогноз!B:K, 3, FALSE), 0))</f>
        <v/>
      </c>
      <c r="I85" s="85" t="str">
        <f t="shared" si="2"/>
        <v/>
      </c>
    </row>
    <row r="86" spans="2:9" x14ac:dyDescent="0.2">
      <c r="B86" s="75" t="s">
        <v>71</v>
      </c>
      <c r="C86" s="95" t="s">
        <v>70</v>
      </c>
      <c r="D86" s="77">
        <f>IF(B86="", "", IFERROR(VLOOKUP(B86,'-2 года'!B:P, Настройки!$C$9, FALSE), 0))</f>
        <v>0</v>
      </c>
      <c r="E86" s="77">
        <f>IF(B86="", "", IFERROR(VLOOKUP(B86,'-2 года'!B:P, Настройки!$D$9, FALSE), 0))</f>
        <v>0</v>
      </c>
      <c r="F86" s="77">
        <f>IF(B86="", "", IFERROR(VLOOKUP(B86,'-1 год'!B:P, Настройки!$E$9, FALSE), 0))</f>
        <v>653246</v>
      </c>
      <c r="G86" s="77">
        <f>IF(B86="", "", IFERROR(VLOOKUP(B86,Прогноз!B:K, Настройки!$F$9, FALSE), 0))</f>
        <v>435386</v>
      </c>
      <c r="H86" s="77">
        <f>H82+H83+H84</f>
        <v>635386</v>
      </c>
      <c r="I86" s="89">
        <f t="shared" si="2"/>
        <v>0.45936249672704221</v>
      </c>
    </row>
    <row r="87" spans="2:9" x14ac:dyDescent="0.2">
      <c r="B87" s="100"/>
      <c r="C87" s="80" t="s">
        <v>114</v>
      </c>
      <c r="D87" s="92">
        <f>D76+D73</f>
        <v>0</v>
      </c>
      <c r="E87" s="92">
        <f>E76+E73</f>
        <v>0</v>
      </c>
      <c r="F87" s="92">
        <f>F76+F73</f>
        <v>850926</v>
      </c>
      <c r="G87" s="92">
        <f>G76+G73</f>
        <v>627125</v>
      </c>
      <c r="H87" s="92">
        <f>H76+H73</f>
        <v>827125</v>
      </c>
      <c r="I87" s="81">
        <f t="shared" si="2"/>
        <v>0.31891568666533787</v>
      </c>
    </row>
    <row r="90" spans="2:9" x14ac:dyDescent="0.2">
      <c r="H90" s="9"/>
    </row>
  </sheetData>
  <sheetProtection password="B578" sheet="1" objects="1" scenarios="1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ignoredErrors>
    <ignoredError sqref="B16:B86 B13" numberStoredAsText="1"/>
    <ignoredError sqref="F14:G14 F26:G26 H65:H81 H34 H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Q73"/>
  <sheetViews>
    <sheetView showGridLines="0" showRowColHeaders="0" zoomScale="110" zoomScaleNormal="110" workbookViewId="0">
      <selection activeCell="A6" sqref="A6"/>
    </sheetView>
  </sheetViews>
  <sheetFormatPr defaultRowHeight="12.75" x14ac:dyDescent="0.2"/>
  <cols>
    <col min="1" max="1" width="1.42578125" style="5" customWidth="1"/>
    <col min="2" max="2" width="51.7109375" style="10" bestFit="1" customWidth="1"/>
    <col min="3" max="3" width="10.7109375" style="4" hidden="1" customWidth="1"/>
    <col min="4" max="6" width="15.7109375" style="4" customWidth="1"/>
    <col min="7" max="8" width="9.140625" style="3"/>
    <col min="9" max="11" width="0" style="3" hidden="1" customWidth="1"/>
    <col min="12" max="12" width="9.140625" style="3" hidden="1" customWidth="1"/>
    <col min="13" max="13" width="1.7109375" style="3" hidden="1" customWidth="1"/>
    <col min="14" max="15" width="9.140625" style="3" hidden="1" customWidth="1"/>
    <col min="16" max="17" width="0" style="3" hidden="1" customWidth="1"/>
    <col min="18" max="16384" width="9.140625" style="3"/>
  </cols>
  <sheetData>
    <row r="6" spans="1:17" ht="13.5" customHeight="1" thickBot="1" x14ac:dyDescent="0.25">
      <c r="A6" s="4"/>
      <c r="B6" s="22" t="s">
        <v>156</v>
      </c>
      <c r="C6" s="21" t="str">
        <f>'Прогноз (отчетность)'!E12</f>
        <v>(не отображается)</v>
      </c>
      <c r="D6" s="21">
        <f>'Прогноз (отчетность)'!F12</f>
        <v>2018</v>
      </c>
      <c r="E6" s="21" t="str">
        <f>'Прогноз (отчетность)'!G12</f>
        <v>2019 (прогноз)</v>
      </c>
      <c r="F6" s="21" t="str">
        <f>'Прогноз (отчетность)'!H12</f>
        <v>Прогноз с НМА</v>
      </c>
      <c r="I6" s="119" t="s">
        <v>186</v>
      </c>
      <c r="J6" s="119"/>
      <c r="K6" s="119"/>
      <c r="L6" s="119"/>
      <c r="M6" s="119"/>
      <c r="N6" s="119"/>
      <c r="O6" s="119"/>
      <c r="P6" s="119"/>
      <c r="Q6" s="119"/>
    </row>
    <row r="7" spans="1:17" ht="13.5" thickTop="1" x14ac:dyDescent="0.2">
      <c r="A7" s="4"/>
      <c r="B7" s="24" t="s">
        <v>136</v>
      </c>
      <c r="C7" s="25" t="str">
        <f>IFERROR('Прогноз (отчетность)'!E42/'Прогноз (отчетность)'!E13, "-")</f>
        <v>-</v>
      </c>
      <c r="D7" s="53">
        <f>IFERROR('Прогноз (отчетность)'!F42/'Прогноз (отчетность)'!F13, "-")</f>
        <v>0.72709121078112982</v>
      </c>
      <c r="E7" s="25">
        <f>IFERROR('Прогноз (отчетность)'!G42/'Прогноз (отчетность)'!G13, "-")</f>
        <v>0.69778291073318077</v>
      </c>
      <c r="F7" s="26">
        <f>IFERROR('Прогноз (отчетность)'!H42/'Прогноз (отчетность)'!H13, "-")</f>
        <v>0.70978759035771288</v>
      </c>
      <c r="I7" s="119"/>
      <c r="J7" s="119"/>
      <c r="K7" s="119"/>
      <c r="L7" s="119"/>
      <c r="M7" s="119"/>
      <c r="N7" s="119"/>
      <c r="O7" s="119"/>
      <c r="P7" s="119"/>
      <c r="Q7" s="119"/>
    </row>
    <row r="8" spans="1:17" x14ac:dyDescent="0.2">
      <c r="A8" s="4"/>
      <c r="B8" s="27" t="s">
        <v>137</v>
      </c>
      <c r="C8" s="28" t="str">
        <f>IFERROR('Прогноз (отчетность)'!E57/'Прогноз (отчетность)'!E42, "-")</f>
        <v>-</v>
      </c>
      <c r="D8" s="54">
        <f>IFERROR('Прогноз (отчетность)'!F57/'Прогноз (отчетность)'!F42, "-")</f>
        <v>0.37534326529085443</v>
      </c>
      <c r="E8" s="28">
        <f>IFERROR('Прогноз (отчетность)'!G57/'Прогноз (отчетность)'!G42, "-")</f>
        <v>0.43311047693797922</v>
      </c>
      <c r="F8" s="29">
        <f>IFERROR('Прогноз (отчетность)'!H57/'Прогноз (отчетность)'!H42, "-")</f>
        <v>0.40887219442090877</v>
      </c>
      <c r="I8" s="119"/>
      <c r="J8" s="119"/>
      <c r="K8" s="119"/>
      <c r="L8" s="119"/>
      <c r="M8" s="119"/>
      <c r="N8" s="119"/>
      <c r="O8" s="119"/>
      <c r="P8" s="119"/>
      <c r="Q8" s="119"/>
    </row>
    <row r="9" spans="1:17" x14ac:dyDescent="0.2">
      <c r="A9" s="4"/>
      <c r="B9" s="27" t="s">
        <v>138</v>
      </c>
      <c r="C9" s="28" t="str">
        <f>IFERROR(('Прогноз (отчетность)'!E42-'Прогноз (отчетность)'!E25)/'Прогноз (отчетность)'!E34, "-")</f>
        <v>-</v>
      </c>
      <c r="D9" s="54">
        <f>IFERROR(('Прогноз (отчетность)'!F42-'Прогноз (отчетность)'!F25)/'Прогноз (отчетность)'!F34, "-")</f>
        <v>0.6506222362480456</v>
      </c>
      <c r="E9" s="28">
        <f>IFERROR(('Прогноз (отчетность)'!G42-'Прогноз (отчетность)'!G25)/'Прогноз (отчетность)'!G34, "-")</f>
        <v>0.62314744774941899</v>
      </c>
      <c r="F9" s="29">
        <f>IFERROR(('Прогноз (отчетность)'!H42-'Прогноз (отчетность)'!H25)/'Прогноз (отчетность)'!H34, "-")</f>
        <v>0.62314744774941899</v>
      </c>
      <c r="I9" s="119"/>
      <c r="J9" s="119"/>
      <c r="K9" s="119"/>
      <c r="L9" s="119"/>
      <c r="M9" s="119"/>
      <c r="N9" s="119"/>
      <c r="O9" s="119"/>
      <c r="P9" s="119"/>
      <c r="Q9" s="119"/>
    </row>
    <row r="10" spans="1:17" x14ac:dyDescent="0.2">
      <c r="A10" s="4"/>
      <c r="B10" s="27" t="s">
        <v>139</v>
      </c>
      <c r="C10" s="28" t="str">
        <f>IFERROR('Прогноз (отчетность)'!E25/'Прогноз (отчетность)'!E42, "-")</f>
        <v>-</v>
      </c>
      <c r="D10" s="54">
        <f>IFERROR('Прогноз (отчетность)'!F25/'Прогноз (отчетность)'!F42, "-")</f>
        <v>0.30102399190591578</v>
      </c>
      <c r="E10" s="28">
        <f>IFERROR('Прогноз (отчетность)'!G25/'Прогноз (отчетность)'!G42, "-")</f>
        <v>0.2838268264719726</v>
      </c>
      <c r="F10" s="29">
        <f>IFERROR('Прогноз (отчетность)'!H25/'Прогноз (отчетность)'!H42, "-")</f>
        <v>0.32390622569095062</v>
      </c>
      <c r="I10" s="119"/>
      <c r="J10" s="119"/>
      <c r="K10" s="119"/>
      <c r="L10" s="119"/>
      <c r="M10" s="119"/>
      <c r="N10" s="119"/>
      <c r="O10" s="119"/>
      <c r="P10" s="119"/>
      <c r="Q10" s="119"/>
    </row>
    <row r="11" spans="1:17" x14ac:dyDescent="0.2">
      <c r="A11" s="4"/>
      <c r="B11" s="27" t="s">
        <v>140</v>
      </c>
      <c r="C11" s="28" t="str">
        <f>IFERROR(('Прогноз (отчетность)'!E42+'Прогноз (отчетность)'!E48)/'Прогноз (отчетность)'!E13, "-")</f>
        <v>-</v>
      </c>
      <c r="D11" s="54">
        <f>IFERROR(('Прогноз (отчетность)'!F42+'Прогноз (отчетность)'!F48)/'Прогноз (отчетность)'!F13, "-")</f>
        <v>0.77533535073705606</v>
      </c>
      <c r="E11" s="28">
        <f>IFERROR(('Прогноз (отчетность)'!G42+'Прогноз (отчетность)'!G48)/'Прогноз (отчетность)'!G13, "-")</f>
        <v>0.83282667919754916</v>
      </c>
      <c r="F11" s="29">
        <f>IFERROR(('Прогноз (отчетность)'!H42+'Прогноз (отчетность)'!H48)/'Прогноз (отчетность)'!H13, "-")</f>
        <v>0.83946714470818995</v>
      </c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7" x14ac:dyDescent="0.2">
      <c r="A12" s="4"/>
      <c r="B12" s="27" t="s">
        <v>141</v>
      </c>
      <c r="C12" s="28" t="str">
        <f>IFERROR(IF('Прогноз (отчетность)'!E42&gt;0, ('Прогноз (отчетность)'!E42-'Прогноз (отчетность)'!E25)/'Прогноз (отчетность)'!E42, "-"), "-")</f>
        <v>-</v>
      </c>
      <c r="D12" s="54">
        <f>IFERROR(IF('Прогноз (отчетность)'!F42&gt;0, ('Прогноз (отчетность)'!F42-'Прогноз (отчетность)'!F25)/'Прогноз (отчетность)'!F42, "-"), "-")</f>
        <v>0.69897600809408422</v>
      </c>
      <c r="E12" s="28">
        <f>IFERROR(IF('Прогноз (отчетность)'!G42&gt;0, ('Прогноз (отчетность)'!G42-'Прогноз (отчетность)'!G25)/'Прогноз (отчетность)'!G42, "-"), "-")</f>
        <v>0.71617317352802734</v>
      </c>
      <c r="F12" s="29">
        <f>IFERROR(IF('Прогноз (отчетность)'!H42&gt;0, ('Прогноз (отчетность)'!H42-'Прогноз (отчетность)'!H25)/'Прогноз (отчетность)'!H42, "-"), "-")</f>
        <v>0.67609377430904938</v>
      </c>
      <c r="I12" s="119"/>
      <c r="J12" s="119"/>
      <c r="K12" s="119"/>
      <c r="L12" s="119"/>
      <c r="M12" s="119"/>
      <c r="N12" s="119"/>
      <c r="O12" s="119"/>
      <c r="P12" s="119"/>
      <c r="Q12" s="119"/>
    </row>
    <row r="13" spans="1:17" x14ac:dyDescent="0.2">
      <c r="A13" s="4"/>
      <c r="B13" s="27" t="s">
        <v>142</v>
      </c>
      <c r="C13" s="28" t="str">
        <f>IFERROR('Прогноз (отчетность)'!E34/'Прогноз (отчетность)'!E13, "-")</f>
        <v>-</v>
      </c>
      <c r="D13" s="54">
        <f>IFERROR('Прогноз (отчетность)'!F34/'Прогноз (отчетность)'!F13, "-")</f>
        <v>0.78112810125095866</v>
      </c>
      <c r="E13" s="28">
        <f>IFERROR('Прогноз (отчетность)'!G34/'Прогноз (отчетность)'!G13, "-")</f>
        <v>0.80195049088022552</v>
      </c>
      <c r="F13" s="29">
        <f>IFERROR('Прогноз (отчетность)'!H34/'Прогноз (отчетность)'!H13, "-")</f>
        <v>0.77009538056495863</v>
      </c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7" x14ac:dyDescent="0.2">
      <c r="A14" s="4"/>
      <c r="B14" s="27" t="s">
        <v>143</v>
      </c>
      <c r="C14" s="28" t="str">
        <f>IFERROR(('Прогноз (отчетность)'!E32+'Прогноз (отчетность)'!E31)/'Прогноз (отчетность)'!E34, "-")</f>
        <v>-</v>
      </c>
      <c r="D14" s="54">
        <f>IFERROR(('Прогноз (отчетность)'!F32+'Прогноз (отчетность)'!F31)/'Прогноз (отчетность)'!F34, "-")</f>
        <v>1.8661836968963078E-2</v>
      </c>
      <c r="E14" s="28">
        <f>IFERROR(('Прогноз (отчетность)'!G32+'Прогноз (отчетность)'!G31)/'Прогноз (отчетность)'!G34, "-")</f>
        <v>1.6182663682896441E-2</v>
      </c>
      <c r="F14" s="29">
        <f>IFERROR(('Прогноз (отчетность)'!H32+'Прогноз (отчетность)'!H31)/'Прогноз (отчетность)'!H34, "-")</f>
        <v>1.6182663682896441E-2</v>
      </c>
      <c r="I14" s="119"/>
      <c r="J14" s="119"/>
      <c r="K14" s="119"/>
      <c r="L14" s="119"/>
      <c r="M14" s="119"/>
      <c r="N14" s="119"/>
      <c r="O14" s="119"/>
      <c r="P14" s="119"/>
      <c r="Q14" s="119"/>
    </row>
    <row r="15" spans="1:17" x14ac:dyDescent="0.2">
      <c r="A15" s="4"/>
      <c r="B15" s="27" t="s">
        <v>144</v>
      </c>
      <c r="C15" s="28" t="str">
        <f>IFERROR(('Прогноз (отчетность)'!E42-'Прогноз (отчетность)'!E25)/'Прогноз (отчетность)'!E28, "-")</f>
        <v>-</v>
      </c>
      <c r="D15" s="54">
        <f>IFERROR(('Прогноз (отчетность)'!F42-'Прогноз (отчетность)'!F25)/'Прогноз (отчетность)'!F28, "-")</f>
        <v>0.8334015321368573</v>
      </c>
      <c r="E15" s="28">
        <f>IFERROR(('Прогноз (отчетность)'!G42-'Прогноз (отчетность)'!G25)/'Прогноз (отчетность)'!G28, "-")</f>
        <v>0.80194501633127346</v>
      </c>
      <c r="F15" s="29">
        <f>IFERROR(('Прогноз (отчетность)'!H42-'Прогноз (отчетность)'!H25)/'Прогноз (отчетность)'!H28, "-")</f>
        <v>0.80194501633127346</v>
      </c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7" ht="13.5" thickBot="1" x14ac:dyDescent="0.25">
      <c r="A16" s="4"/>
      <c r="B16" s="30" t="s">
        <v>157</v>
      </c>
      <c r="C16" s="31" t="str">
        <f>IFERROR('Прогноз (отчетность)'!E55/'Прогноз (отчетность)'!E57, "-")</f>
        <v>-</v>
      </c>
      <c r="D16" s="55">
        <f>IFERROR('Прогноз (отчетность)'!F55/'Прогноз (отчетность)'!F57, "-")</f>
        <v>0.82322247629322443</v>
      </c>
      <c r="E16" s="31">
        <f>IFERROR('Прогноз (отчетность)'!G55/'Прогноз (отчетность)'!G57, "-")</f>
        <v>0.55315641219367984</v>
      </c>
      <c r="F16" s="32">
        <f>IFERROR('Прогноз (отчетность)'!H55/'Прогноз (отчетность)'!H57, "-")</f>
        <v>0.55315641219367984</v>
      </c>
      <c r="I16" s="119"/>
      <c r="J16" s="119"/>
      <c r="K16" s="119"/>
      <c r="L16" s="119"/>
      <c r="M16" s="119"/>
      <c r="N16" s="119"/>
      <c r="O16" s="119"/>
      <c r="P16" s="119"/>
      <c r="Q16" s="119"/>
    </row>
    <row r="17" spans="1:17" ht="13.5" thickTop="1" x14ac:dyDescent="0.2">
      <c r="A17" s="4"/>
      <c r="B17" s="24" t="s">
        <v>145</v>
      </c>
      <c r="C17" s="25" t="str">
        <f>IFERROR('Прогноз (отчетность)'!E34/'Прогноз (отчетность)'!E55, "-")</f>
        <v>-</v>
      </c>
      <c r="D17" s="53">
        <f>IFERROR('Прогноз (отчетность)'!F34/'Прогноз (отчетность)'!F55, "-")</f>
        <v>3.4768625318384592</v>
      </c>
      <c r="E17" s="25">
        <f>IFERROR('Прогноз (отчетность)'!G34/'Прогноз (отчетность)'!G55, "-")</f>
        <v>4.7971200609688953</v>
      </c>
      <c r="F17" s="26">
        <f>IFERROR('Прогноз (отчетность)'!H34/'Прогноз (отчетность)'!H55, "-")</f>
        <v>4.7971200609688953</v>
      </c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x14ac:dyDescent="0.2">
      <c r="A18" s="4"/>
      <c r="B18" s="27" t="s">
        <v>146</v>
      </c>
      <c r="C18" s="28" t="str">
        <f>IFERROR(('Прогноз (отчетность)'!E32+'Прогноз (отчетность)'!E30+'Прогноз (отчетность)'!E31)/'Прогноз (отчетность)'!E55, "-")</f>
        <v>-</v>
      </c>
      <c r="D18" s="54">
        <f>IFERROR(('Прогноз (отчетность)'!F32+'Прогноз (отчетность)'!F30+'Прогноз (отчетность)'!F31)/'Прогноз (отчетность)'!F55, "-")</f>
        <v>0.73296624426763612</v>
      </c>
      <c r="E18" s="28">
        <f>IFERROR(('Прогноз (отчетность)'!G32+'Прогноз (отчетность)'!G30+'Прогноз (отчетность)'!G31)/'Прогноз (отчетность)'!G55, "-")</f>
        <v>1.0628976803859054</v>
      </c>
      <c r="F18" s="29">
        <f>IFERROR(('Прогноз (отчетность)'!H32+'Прогноз (отчетность)'!H30+'Прогноз (отчетность)'!H31)/'Прогноз (отчетность)'!H55, "-")</f>
        <v>1.0628976803859054</v>
      </c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3.5" thickBot="1" x14ac:dyDescent="0.25">
      <c r="A19" s="4"/>
      <c r="B19" s="30" t="s">
        <v>147</v>
      </c>
      <c r="C19" s="31" t="str">
        <f>IFERROR(('Прогноз (отчетность)'!E32+'Прогноз (отчетность)'!E31)/'Прогноз (отчетность)'!E55, "-")</f>
        <v>-</v>
      </c>
      <c r="D19" s="55">
        <f>IFERROR(('Прогноз (отчетность)'!F32+'Прогноз (отчетность)'!F31)/'Прогноз (отчетность)'!F55, "-")</f>
        <v>6.4884641732665518E-2</v>
      </c>
      <c r="E19" s="31">
        <f>IFERROR(('Прогноз (отчетность)'!G32+'Прогноз (отчетность)'!G31)/'Прогноз (отчетность)'!G55, "-")</f>
        <v>7.7630180593135312E-2</v>
      </c>
      <c r="F19" s="32">
        <f>IFERROR(('Прогноз (отчетность)'!H32+'Прогноз (отчетность)'!H31)/'Прогноз (отчетность)'!H55, "-")</f>
        <v>7.7630180593135312E-2</v>
      </c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ht="13.5" thickTop="1" x14ac:dyDescent="0.2">
      <c r="A20" s="4"/>
      <c r="B20" s="24" t="s">
        <v>121</v>
      </c>
      <c r="C20" s="33" t="str">
        <f>IFERROR('Прогноз (отчетность)'!E68/'Прогноз (отчетность)'!E63, "-")</f>
        <v>-</v>
      </c>
      <c r="D20" s="56">
        <f>IFERROR('Прогноз (отчетность)'!F68/'Прогноз (отчетность)'!F63, "-")</f>
        <v>0.35431452576380862</v>
      </c>
      <c r="E20" s="33">
        <f>IFERROR('Прогноз (отчетность)'!G68/'Прогноз (отчетность)'!G63, "-")</f>
        <v>0.37702598426308703</v>
      </c>
      <c r="F20" s="34">
        <f>IFERROR('Прогноз (отчетность)'!H68/'Прогноз (отчетность)'!H63, "-")</f>
        <v>0.37702598426308703</v>
      </c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7" x14ac:dyDescent="0.2">
      <c r="A21" s="4"/>
      <c r="B21" s="27" t="s">
        <v>148</v>
      </c>
      <c r="C21" s="35" t="str">
        <f>IFERROR('Прогноз (отчетность)'!E87/'Прогноз (отчетность)'!E63, "-")</f>
        <v>-</v>
      </c>
      <c r="D21" s="57">
        <f>IFERROR('Прогноз (отчетность)'!F87/'Прогноз (отчетность)'!F63, "-")</f>
        <v>0.34344990926644664</v>
      </c>
      <c r="E21" s="35">
        <f>IFERROR('Прогноз (отчетность)'!G87/'Прогноз (отчетность)'!G63, "-")</f>
        <v>0.26045105949642877</v>
      </c>
      <c r="F21" s="36">
        <f>IFERROR('Прогноз (отчетность)'!H87/'Прогноз (отчетность)'!H63, "-")</f>
        <v>0.34351298797844709</v>
      </c>
      <c r="I21" s="119"/>
      <c r="J21" s="119"/>
      <c r="K21" s="119"/>
      <c r="L21" s="119"/>
      <c r="M21" s="119"/>
      <c r="N21" s="119"/>
      <c r="O21" s="119"/>
      <c r="P21" s="119"/>
      <c r="Q21" s="119"/>
    </row>
    <row r="22" spans="1:17" x14ac:dyDescent="0.2">
      <c r="A22" s="4"/>
      <c r="B22" s="27" t="s">
        <v>149</v>
      </c>
      <c r="C22" s="35" t="str">
        <f>IFERROR('Прогноз (отчетность)'!E82/'Прогноз (отчетность)'!E63, "-")</f>
        <v>-</v>
      </c>
      <c r="D22" s="57">
        <f>IFERROR('Прогноз (отчетность)'!F82/'Прогноз (отчетность)'!F63, "-")</f>
        <v>0.26366250347112347</v>
      </c>
      <c r="E22" s="35">
        <f>IFERROR('Прогноз (отчетность)'!G82/'Прогноз (отчетность)'!G63, "-")</f>
        <v>0.18082000397036019</v>
      </c>
      <c r="F22" s="36">
        <f>IFERROR('Прогноз (отчетность)'!H82/'Прогноз (отчетность)'!H63, "-")</f>
        <v>0.26388193245237851</v>
      </c>
      <c r="I22" s="119"/>
      <c r="J22" s="119"/>
      <c r="K22" s="119"/>
      <c r="L22" s="119"/>
      <c r="M22" s="119"/>
      <c r="N22" s="119"/>
      <c r="O22" s="119"/>
      <c r="P22" s="119"/>
      <c r="Q22" s="119"/>
    </row>
    <row r="23" spans="1:17" x14ac:dyDescent="0.2">
      <c r="A23" s="4"/>
      <c r="B23" s="27" t="s">
        <v>150</v>
      </c>
      <c r="C23" s="37" t="str">
        <f>IFERROR(('Прогноз (отчетность)'!E76+'Прогноз (отчетность)'!E73)/'Прогноз (отчетность)'!E73, "-")</f>
        <v>-</v>
      </c>
      <c r="D23" s="58">
        <f>IFERROR(('Прогноз (отчетность)'!F76+'Прогноз (отчетность)'!F73)/'Прогноз (отчетность)'!F73, "-")</f>
        <v>19.32122340546309</v>
      </c>
      <c r="E23" s="37">
        <f>IFERROR(('Прогноз (отчетность)'!G76+'Прогноз (отчетность)'!G73)/'Прогноз (отчетность)'!G73, "-")</f>
        <v>7.1936978790277255</v>
      </c>
      <c r="F23" s="38">
        <f>IFERROR(('Прогноз (отчетность)'!H76+'Прогноз (отчетность)'!H73)/'Прогноз (отчетность)'!H73, "-")</f>
        <v>9.4878809777808364</v>
      </c>
      <c r="I23" s="119"/>
      <c r="J23" s="119"/>
      <c r="K23" s="119"/>
      <c r="L23" s="119"/>
      <c r="M23" s="119"/>
      <c r="N23" s="119"/>
      <c r="O23" s="119"/>
      <c r="P23" s="119"/>
      <c r="Q23" s="119"/>
    </row>
    <row r="24" spans="1:17" x14ac:dyDescent="0.2">
      <c r="A24" s="4"/>
      <c r="B24" s="27" t="s">
        <v>163</v>
      </c>
      <c r="C24" s="37" t="str">
        <f>IFERROR(IF(('Прогноз (отчетность)'!E56-'Прогноз (отчетность)'!E32)/'Прогноз (отчетность)'!E87&lt;0, "-", ('Прогноз (отчетность)'!E56-'Прогноз (отчетность)'!E32)/'Прогноз (отчетность)'!E87), "-")</f>
        <v>-</v>
      </c>
      <c r="D24" s="58">
        <f>IFERROR(IF(('Прогноз (отчетность)'!F56-'Прогноз (отчетность)'!F32)/'Прогноз (отчетность)'!F87&lt;0, "-", ('Прогноз (отчетность)'!F56-'Прогноз (отчетность)'!F32)/'Прогноз (отчетность)'!F87), "-")</f>
        <v>0.18329208415302858</v>
      </c>
      <c r="E24" s="37">
        <f>IFERROR(IF(('Прогноз (отчетность)'!G56-'Прогноз (отчетность)'!G32)/'Прогноз (отчетность)'!G87&lt;0, "-", ('Прогноз (отчетность)'!G56-'Прогноз (отчетность)'!G32)/'Прогноз (отчетность)'!G87), "-")</f>
        <v>0.94110105640821207</v>
      </c>
      <c r="F24" s="38">
        <f>IFERROR(IF(('Прогноз (отчетность)'!H56-'Прогноз (отчетность)'!H32)/'Прогноз (отчетность)'!H87&lt;0, "-", ('Прогноз (отчетность)'!H56-'Прогноз (отчетность)'!H32)/'Прогноз (отчетность)'!H87), "-")</f>
        <v>0.71354148405621887</v>
      </c>
      <c r="I24" s="119"/>
      <c r="J24" s="119"/>
      <c r="K24" s="119"/>
      <c r="L24" s="119"/>
      <c r="M24" s="119"/>
      <c r="N24" s="119"/>
      <c r="O24" s="119"/>
      <c r="P24" s="119"/>
      <c r="Q24" s="119"/>
    </row>
    <row r="25" spans="1:17" x14ac:dyDescent="0.2">
      <c r="A25" s="4"/>
      <c r="B25" s="27" t="s">
        <v>151</v>
      </c>
      <c r="C25" s="35" t="str">
        <f>IF(Настройки!C10="да", IFERROR(IF(OR('Прогноз (отчетность)'!E42&lt;0, 'Прогноз (отчетность)'!D42&lt;0), "-", 'Прогноз (отчетность)'!E82/AVERAGE('Прогноз (отчетность)'!D42,'Прогноз (отчетность)'!E42)), "-"), IFERROR(IF('Прогноз (отчетность)'!E42&lt;0, "-", 'Прогноз (отчетность)'!E82/'Прогноз (отчетность)'!E42), "-"))</f>
        <v>-</v>
      </c>
      <c r="D25" s="57">
        <f>IF(Настройки!D10="да", IFERROR(IF(OR('Прогноз (отчетность)'!F42&lt;0, 'Прогноз (отчетность)'!E42&lt;0), "-", 'Прогноз (отчетность)'!F82/AVERAGE('Прогноз (отчетность)'!E42,'Прогноз (отчетность)'!F42)), "-"), IFERROR(IF('Прогноз (отчетность)'!F42&lt;0, "-", 'Прогноз (отчетность)'!F82/'Прогноз (отчетность)'!F42), "-"))</f>
        <v>0.19393442438010369</v>
      </c>
      <c r="E25" s="35">
        <f>IFERROR(IF(OR('Прогноз (отчетность)'!G42&lt;0, 'Прогноз (отчетность)'!F42&lt;0), "-", 'Прогноз (отчетность)'!G82/AVERAGE('Прогноз (отчетность)'!F42,'Прогноз (отчетность)'!G42)), "-")</f>
        <v>0.12915330670091091</v>
      </c>
      <c r="F25" s="36">
        <f>IFERROR(IF(OR('Прогноз (отчетность)'!H42&lt;0, 'Прогноз (отчетность)'!F42&lt;0), "-", 'Прогноз (отчетность)'!H82/AVERAGE('Прогноз (отчетность)'!F42,'Прогноз (отчетность)'!H42)), "-")</f>
        <v>0.18305143731963461</v>
      </c>
      <c r="I25" s="119"/>
      <c r="J25" s="119"/>
      <c r="K25" s="119"/>
      <c r="L25" s="119"/>
      <c r="M25" s="119"/>
      <c r="N25" s="119"/>
      <c r="O25" s="119"/>
      <c r="P25" s="119"/>
      <c r="Q25" s="119"/>
    </row>
    <row r="26" spans="1:17" x14ac:dyDescent="0.2">
      <c r="A26" s="4"/>
      <c r="B26" s="27" t="s">
        <v>152</v>
      </c>
      <c r="C26" s="35" t="str">
        <f>IF(Настройки!C10="да", IFERROR('Прогноз (отчетность)'!E82/AVERAGE('Прогноз (отчетность)'!E13,'Прогноз (отчетность)'!D13), "-"), IFERROR('Прогноз (отчетность)'!E82/AVERAGE('Прогноз (отчетность)'!E13), "-"))</f>
        <v>-</v>
      </c>
      <c r="D26" s="57">
        <f>IF(Настройки!D10="да", IFERROR('Прогноз (отчетность)'!F82/AVERAGE('Прогноз (отчетность)'!F13, 'Прогноз (отчетность)'!E13), "-"), IFERROR('Прогноз (отчетность)'!F82/AVERAGE('Прогноз (отчетность)'!F13), "-"))</f>
        <v>0.14100801543467106</v>
      </c>
      <c r="E26" s="35">
        <f>IFERROR('Прогноз (отчетность)'!G82/AVERAGE('Прогноз (отчетность)'!G13,'Прогноз (отчетность)'!F13), "-")</f>
        <v>9.1973161309402779E-2</v>
      </c>
      <c r="F26" s="36">
        <f>IFERROR('Прогноз (отчетность)'!H82/AVERAGE('Прогноз (отчетность)'!H13,'Прогноз (отчетность)'!F13), "-")</f>
        <v>0.13144546129239967</v>
      </c>
      <c r="I26" s="119"/>
      <c r="J26" s="119"/>
      <c r="K26" s="119"/>
      <c r="L26" s="119"/>
      <c r="M26" s="119"/>
      <c r="N26" s="119"/>
      <c r="O26" s="119"/>
      <c r="P26" s="119"/>
      <c r="Q26" s="119"/>
    </row>
    <row r="27" spans="1:17" x14ac:dyDescent="0.2">
      <c r="A27" s="4"/>
      <c r="B27" s="27" t="s">
        <v>153</v>
      </c>
      <c r="C27" s="35" t="str">
        <f>IF(Настройки!C10="да", IFERROR('Прогноз (отчетность)'!E87/(AVERAGE('Прогноз (отчетность)'!E48, 'Прогноз (отчетность)'!D48)+AVERAGE('Прогноз (отчетность)'!E42, 'Прогноз (отчетность)'!D42)), "-"), IFERROR('Прогноз (отчетность)'!E87/(AVERAGE('Прогноз (отчетность)'!E48)+AVERAGE('Прогноз (отчетность)'!E42)), "-"))</f>
        <v>-</v>
      </c>
      <c r="D27" s="57">
        <f>IF(Настройки!D10="да", IFERROR('Прогноз (отчетность)'!F87/(AVERAGE('Прогноз (отчетность)'!E48, 'Прогноз (отчетность)'!F48)+AVERAGE('Прогноз (отчетность)'!E42, 'Прогноз (отчетность)'!F42)), "-"), IFERROR('Прогноз (отчетность)'!F87/(AVERAGE('Прогноз (отчетность)'!F48)+AVERAGE('Прогноз (отчетность)'!F42)), "-"))</f>
        <v>0.23690228476070788</v>
      </c>
      <c r="E27" s="35">
        <f>IFERROR('Прогноз (отчетность)'!G87/(AVERAGE('Прогноз (отчетность)'!G48, 'Прогноз (отчетность)'!F48)+AVERAGE('Прогноз (отчетность)'!G42, 'Прогноз (отчетность)'!F42)), "-")</f>
        <v>0.16463013577441399</v>
      </c>
      <c r="F27" s="36">
        <f>IFERROR('Прогноз (отчетность)'!H87/(AVERAGE('Прогноз (отчетность)'!H48, 'Прогноз (отчетность)'!F48)+AVERAGE('Прогноз (отчетность)'!H42, 'Прогноз (отчетность)'!F42)), "-")</f>
        <v>0.2115789887003966</v>
      </c>
      <c r="I27" s="119"/>
      <c r="J27" s="119"/>
      <c r="K27" s="119"/>
      <c r="L27" s="119"/>
      <c r="M27" s="119"/>
      <c r="N27" s="119"/>
      <c r="O27" s="119"/>
      <c r="P27" s="119"/>
      <c r="Q27" s="119"/>
    </row>
    <row r="28" spans="1:17" x14ac:dyDescent="0.2">
      <c r="A28" s="4"/>
      <c r="B28" s="27" t="s">
        <v>154</v>
      </c>
      <c r="C28" s="35" t="str">
        <f>IF(Настройки!C10="да", IFERROR('Прогноз (отчетность)'!E68/(AVERAGE('Прогноз (отчетность)'!E20,'Прогноз (отчетность)'!D20)+AVERAGE('Прогноз (отчетность)'!E28,'Прогноз (отчетность)'!D28)), "-"), IFERROR('Прогноз (отчетность)'!E68/(AVERAGE('Прогноз (отчетность)'!E20)+AVERAGE('Прогноз (отчетность)'!E28)), "-"))</f>
        <v>-</v>
      </c>
      <c r="D28" s="57">
        <f>IF(Настройки!D10="да", IFERROR('Прогноз (отчетность)'!F68/(AVERAGE('Прогноз (отчетность)'!E20,'Прогноз (отчетность)'!F20)+AVERAGE('Прогноз (отчетность)'!E28,'Прогноз (отчетность)'!F28)), "-"), IFERROR('Прогноз (отчетность)'!F68/(AVERAGE('Прогноз (отчетность)'!F20)+AVERAGE('Прогноз (отчетность)'!F28)), "-"))</f>
        <v>0.23585542878237745</v>
      </c>
      <c r="E28" s="35">
        <f>IFERROR('Прогноз (отчетность)'!G68/(AVERAGE('Прогноз (отчетность)'!G20,'Прогноз (отчетность)'!F20)+AVERAGE('Прогноз (отчетность)'!G28,'Прогноз (отчетность)'!F28)), "-")</f>
        <v>0.23861819876469434</v>
      </c>
      <c r="F28" s="36">
        <f>IFERROR('Прогноз (отчетность)'!H68/(AVERAGE('Прогноз (отчетность)'!H20,'Прогноз (отчетность)'!F20)+AVERAGE('Прогноз (отчетность)'!H28,'Прогноз (отчетность)'!F28)), "-")</f>
        <v>0.23861819876469434</v>
      </c>
      <c r="I28" s="119"/>
      <c r="J28" s="119"/>
      <c r="K28" s="119"/>
      <c r="L28" s="119"/>
      <c r="M28" s="119"/>
      <c r="N28" s="119"/>
      <c r="O28" s="119"/>
      <c r="P28" s="119"/>
      <c r="Q28" s="119"/>
    </row>
    <row r="29" spans="1:17" ht="13.5" thickBot="1" x14ac:dyDescent="0.25">
      <c r="A29" s="4"/>
      <c r="B29" s="30" t="s">
        <v>155</v>
      </c>
      <c r="C29" s="39" t="str">
        <f>IF(Настройки!C10="да", IFERROR('Прогноз (отчетность)'!E63/AVERAGE('Прогноз (отчетность)'!E20, 'Прогноз (отчетность)'!D20), "-"), IFERROR('Прогноз (отчетность)'!E63/AVERAGE('Прогноз (отчетность)'!E20), "-"))</f>
        <v>-</v>
      </c>
      <c r="D29" s="59">
        <f>IF(Настройки!D10="да", IFERROR('Прогноз (отчетность)'!F63/AVERAGE('Прогноз (отчетность)'!E20, 'Прогноз (отчетность)'!F20), "-"), IFERROR('Прогноз (отчетность)'!F63/'Прогноз (отчетность)'!F20, "-"))</f>
        <v>2.7624352759108199</v>
      </c>
      <c r="E29" s="39">
        <f>IFERROR('Прогноз (отчетность)'!G63/AVERAGE('Прогноз (отчетность)'!G20, 'Прогноз (отчетность)'!F20), "-")</f>
        <v>2.7192475050283407</v>
      </c>
      <c r="F29" s="40">
        <f>IFERROR('Прогноз (отчетность)'!H63/AVERAGE('Прогноз (отчетность)'!H20, 'Прогноз (отчетность)'!F20), "-")</f>
        <v>2.7192475050283407</v>
      </c>
      <c r="I29" s="119"/>
      <c r="J29" s="119"/>
      <c r="K29" s="119"/>
      <c r="L29" s="119"/>
      <c r="M29" s="119"/>
      <c r="N29" s="119"/>
      <c r="O29" s="119"/>
      <c r="P29" s="119"/>
      <c r="Q29" s="119"/>
    </row>
    <row r="30" spans="1:17" ht="13.5" thickTop="1" x14ac:dyDescent="0.2">
      <c r="A30" s="4"/>
      <c r="B30" s="24" t="s">
        <v>115</v>
      </c>
      <c r="C30" s="41" t="str">
        <f>IF(Настройки!C10="да", IFERROR(AVERAGE('Прогноз (отчетность)'!E34,'Прогноз (отчетность)'!D34)/'Прогноз (отчетность)'!E63*365, "-"), IFERROR(AVERAGE('Прогноз (отчетность)'!E34)/'Прогноз (отчетность)'!E63*365, "-"))</f>
        <v>-</v>
      </c>
      <c r="D30" s="60">
        <f>IF(Настройки!D10="да", IFERROR(AVERAGE('Прогноз (отчетность)'!E34,'Прогноз (отчетность)'!F34)/'Прогноз (отчетность)'!F63*365, "-"), IFERROR('Прогноз (отчетность)'!F34/'Прогноз (отчетность)'!F63*365, "-"))</f>
        <v>533.11352107537016</v>
      </c>
      <c r="E30" s="41">
        <f>IFERROR(AVERAGE('Прогноз (отчетность)'!G34,'Прогноз (отчетность)'!F34)/'Прогноз (отчетность)'!G63*365, "-")</f>
        <v>568.16273555324642</v>
      </c>
      <c r="F30" s="42">
        <f>IFERROR(AVERAGE('Прогноз (отчетность)'!H34,'Прогноз (отчетность)'!F34)/'Прогноз (отчетность)'!H63*365, "-")</f>
        <v>568.16273555324642</v>
      </c>
      <c r="I30" s="119"/>
      <c r="J30" s="119"/>
      <c r="K30" s="119"/>
      <c r="L30" s="119"/>
      <c r="M30" s="119"/>
      <c r="N30" s="119"/>
      <c r="O30" s="119"/>
      <c r="P30" s="119"/>
      <c r="Q30" s="119"/>
    </row>
    <row r="31" spans="1:17" x14ac:dyDescent="0.2">
      <c r="A31" s="4"/>
      <c r="B31" s="27" t="s">
        <v>116</v>
      </c>
      <c r="C31" s="43" t="str">
        <f>IF(Настройки!C10="да", IFERROR(AVERAGE('Прогноз (отчетность)'!E28,'Прогноз (отчетность)'!D28)/'Прогноз (отчетность)'!E64*365, "-"), IFERROR(AVERAGE('Прогноз (отчетность)'!E28)/'Прогноз (отчетность)'!E64*365, "-"))</f>
        <v>-</v>
      </c>
      <c r="D31" s="61">
        <f>IF(Настройки!D10="да", IFERROR(AVERAGE('Прогноз (отчетность)'!E28,'Прогноз (отчетность)'!F28)/('Прогноз (отчетность)'!F64+'Прогноз (отчетность)'!F66+'Прогноз (отчетность)'!F67)*365, "-"), IFERROR('Прогноз (отчетность)'!F28/('Прогноз (отчетность)'!F64+'Прогноз (отчетность)'!F66+'Прогноз (отчетность)'!F67)*365, "-"))</f>
        <v>644.57474964681762</v>
      </c>
      <c r="E31" s="43">
        <f>IFERROR(AVERAGE('Прогноз (отчетность)'!G28,'Прогноз (отчетность)'!F28)/('Прогноз (отчетность)'!G64+'Прогноз (отчетность)'!G66+'Прогноз (отчетность)'!G67)*365, "-")</f>
        <v>710.27971737766688</v>
      </c>
      <c r="F31" s="44">
        <f>IFERROR(AVERAGE('Прогноз (отчетность)'!H28,'Прогноз (отчетность)'!F28)/('Прогноз (отчетность)'!H64+'Прогноз (отчетность)'!H66+'Прогноз (отчетность)'!H67)*365, "-")</f>
        <v>710.27971737766688</v>
      </c>
      <c r="I31" s="119"/>
      <c r="J31" s="119"/>
      <c r="K31" s="119"/>
      <c r="L31" s="119"/>
      <c r="M31" s="119"/>
      <c r="N31" s="119"/>
      <c r="O31" s="119"/>
      <c r="P31" s="119"/>
      <c r="Q31" s="119"/>
    </row>
    <row r="32" spans="1:17" x14ac:dyDescent="0.2">
      <c r="A32" s="4"/>
      <c r="B32" s="27" t="s">
        <v>117</v>
      </c>
      <c r="C32" s="43" t="str">
        <f>IF(Настройки!C10="да", IFERROR(AVERAGE('Прогноз (отчетность)'!E30,'Прогноз (отчетность)'!D30)/'Прогноз (отчетность)'!E63*365, "-"), IFERROR(AVERAGE('Прогноз (отчетность)'!E30)/'Прогноз (отчетность)'!E63*365, "-"))</f>
        <v>-</v>
      </c>
      <c r="D32" s="61">
        <f>IF(Настройки!D10="да", IFERROR(AVERAGE('Прогноз (отчетность)'!E30,'Прогноз (отчетность)'!F30)/'Прогноз (отчетность)'!F63*365, "-"), IFERROR('Прогноз (отчетность)'!F30/'Прогноз (отчетность)'!F63*365, "-"))</f>
        <v>102.43814135060607</v>
      </c>
      <c r="E32" s="43">
        <f>IFERROR(AVERAGE('Прогноз (отчетность)'!G30,'Прогноз (отчетность)'!F30)/'Прогноз (отчетность)'!G63*365, "-")</f>
        <v>113.06290965104853</v>
      </c>
      <c r="F32" s="44">
        <f>IFERROR(AVERAGE('Прогноз (отчетность)'!H30,'Прогноз (отчетность)'!F30)/'Прогноз (отчетность)'!H63*365, "-")</f>
        <v>113.06290965104853</v>
      </c>
      <c r="I32" s="119"/>
      <c r="J32" s="119"/>
      <c r="K32" s="119"/>
      <c r="L32" s="119"/>
      <c r="M32" s="119"/>
      <c r="N32" s="119"/>
      <c r="O32" s="119"/>
      <c r="P32" s="119"/>
      <c r="Q32" s="119"/>
    </row>
    <row r="33" spans="1:17" x14ac:dyDescent="0.2">
      <c r="A33" s="4"/>
      <c r="B33" s="27" t="s">
        <v>118</v>
      </c>
      <c r="C33" s="43" t="str">
        <f>IF(Настройки!C10="да", IFERROR(AVERAGE('Прогноз (отчетность)'!E51,'Прогноз (отчетность)'!D51)/'Прогноз (отчетность)'!E63*365, "-"), IFERROR(AVERAGE('Прогноз (отчетность)'!E51)/'Прогноз (отчетность)'!E63*365, "-"))</f>
        <v>-</v>
      </c>
      <c r="D33" s="61">
        <f>IF(Настройки!D10="да", IFERROR(AVERAGE('Прогноз (отчетность)'!E51,'Прогноз (отчетность)'!F51)/'Прогноз (отчетность)'!F63*365, "-"), IFERROR('Прогноз (отчетность)'!F51/'Прогноз (отчетность)'!F63*365, "-"))</f>
        <v>151.23230937881419</v>
      </c>
      <c r="E33" s="43">
        <f>IFERROR(AVERAGE('Прогноз (отчетность)'!G51,'Прогноз (отчетность)'!F51)/'Прогноз (отчетность)'!G63*365, "-")</f>
        <v>137.94244493617106</v>
      </c>
      <c r="F33" s="44">
        <f>IFERROR(AVERAGE('Прогноз (отчетность)'!H51,'Прогноз (отчетность)'!F51)/'Прогноз (отчетность)'!H63*365, "-")</f>
        <v>137.94244493617106</v>
      </c>
      <c r="I33" s="119"/>
      <c r="J33" s="119"/>
      <c r="K33" s="119"/>
      <c r="L33" s="119"/>
      <c r="M33" s="119"/>
      <c r="N33" s="119"/>
      <c r="O33" s="119"/>
      <c r="P33" s="119"/>
      <c r="Q33" s="119"/>
    </row>
    <row r="34" spans="1:17" x14ac:dyDescent="0.2">
      <c r="A34" s="4"/>
      <c r="B34" s="27" t="s">
        <v>119</v>
      </c>
      <c r="C34" s="43" t="str">
        <f>IF(Настройки!C10="да", IFERROR(AVERAGE('Прогноз (отчетность)'!E13,'Прогноз (отчетность)'!D13)/'Прогноз (отчетность)'!E63*365, "-"), IFERROR('Прогноз (отчетность)'!E13/'Прогноз (отчетность)'!E63*365, "-"))</f>
        <v>-</v>
      </c>
      <c r="D34" s="61">
        <f>IF(Настройки!D10="да", IFERROR(AVERAGE('Прогноз (отчетность)'!E13,'Прогноз (отчетность)'!F13)/'Прогноз (отчетность)'!F63*365, "-"), IFERROR('Прогноз (отчетность)'!F13/'Прогноз (отчетность)'!F63*365, "-"))</f>
        <v>682.49179644363221</v>
      </c>
      <c r="E34" s="43">
        <f>IFERROR(AVERAGE('Прогноз (отчетность)'!G13,'Прогноз (отчетность)'!F13)/'Прогноз (отчетность)'!G63*365, "-")</f>
        <v>717.59305116365613</v>
      </c>
      <c r="F34" s="44">
        <f>IFERROR(AVERAGE('Прогноз (отчетность)'!H13,'Прогноз (отчетность)'!F13)/'Прогноз (отчетность)'!H63*365, "-")</f>
        <v>732.75185311162443</v>
      </c>
      <c r="I34" s="119"/>
      <c r="J34" s="119"/>
      <c r="K34" s="119"/>
      <c r="L34" s="119"/>
      <c r="M34" s="119"/>
      <c r="N34" s="119"/>
      <c r="O34" s="119"/>
      <c r="P34" s="119"/>
      <c r="Q34" s="119"/>
    </row>
    <row r="35" spans="1:17" ht="13.5" thickBot="1" x14ac:dyDescent="0.25">
      <c r="A35" s="4"/>
      <c r="B35" s="30" t="s">
        <v>120</v>
      </c>
      <c r="C35" s="45" t="str">
        <f>IF(Настройки!C10="да", IFERROR(IF(AVERAGE('Прогноз (отчетность)'!E42,'Прогноз (отчетность)'!D42)/'Прогноз (отчетность)'!E63*365&lt;0, "-", AVERAGE('Прогноз (отчетность)'!E42,'Прогноз (отчетность)'!D42)/'Прогноз (отчетность)'!E63*365), "-"), IFERROR(IF(AVERAGE('Прогноз (отчетность)'!E42)/'Прогноз (отчетность)'!E63*365&lt;0, "-", AVERAGE('Прогноз (отчетность)'!E42)/'Прогноз (отчетность)'!E63*365), "-"))</f>
        <v>-</v>
      </c>
      <c r="D35" s="62">
        <f>IF(Настройки!D10="да", IFERROR(IF(AVERAGE('Прогноз (отчетность)'!E42,'Прогноз (отчетность)'!F42)/'Прогноз (отчетность)'!F63*365&lt;0, "-", AVERAGE('Прогноз (отчетность)'!E42,'Прогноз (отчетность)'!F42)/'Прогноз (отчетность)'!F63*365), "-"), IFERROR(IF('Прогноз (отчетность)'!F42/'Прогноз (отчетность)'!F63*365&lt;0, "-", 'Прогноз (отчетность)'!F42/'Прогноз (отчетность)'!F63*365), "-"))</f>
        <v>496.23378662438893</v>
      </c>
      <c r="E35" s="45">
        <f>IFERROR(IF(AVERAGE('Прогноз (отчетность)'!F42,'Прогноз (отчетность)'!G42)/'Прогноз (отчетность)'!G63*365&lt;0, "-", AVERAGE('Прогноз (отчетность)'!F42,'Прогноз (отчетность)'!G42)/'Прогноз (отчетность)'!G63*365), "-")</f>
        <v>511.01518911955191</v>
      </c>
      <c r="F35" s="46">
        <f>IFERROR(IF(AVERAGE('Прогноз (отчетность)'!H42,'Прогноз (отчетность)'!F42)/'Прогноз (отчетность)'!H63*365&lt;0, "-", AVERAGE('Прогноз (отчетность)'!H42,'Прогноз (отчетность)'!F42)/'Прогноз (отчетность)'!H63*365), "-")</f>
        <v>526.17399106752021</v>
      </c>
      <c r="I35" s="119"/>
      <c r="J35" s="119"/>
      <c r="K35" s="119"/>
      <c r="L35" s="119"/>
      <c r="M35" s="119"/>
      <c r="N35" s="119"/>
      <c r="O35" s="119"/>
      <c r="P35" s="119"/>
      <c r="Q35" s="119"/>
    </row>
    <row r="36" spans="1:17" ht="13.5" thickTop="1" x14ac:dyDescent="0.2">
      <c r="A36" s="4"/>
    </row>
    <row r="37" spans="1:17" x14ac:dyDescent="0.2">
      <c r="A37" s="4"/>
    </row>
    <row r="38" spans="1:17" x14ac:dyDescent="0.2">
      <c r="A38" s="4"/>
    </row>
    <row r="40" spans="1:17" x14ac:dyDescent="0.2">
      <c r="A40" s="4"/>
    </row>
    <row r="41" spans="1:17" x14ac:dyDescent="0.2">
      <c r="A41" s="4"/>
    </row>
    <row r="42" spans="1:17" x14ac:dyDescent="0.2">
      <c r="A42" s="4"/>
      <c r="B42" s="4"/>
      <c r="C42" s="5"/>
    </row>
    <row r="43" spans="1:17" x14ac:dyDescent="0.2">
      <c r="A43" s="4"/>
      <c r="B43" s="4"/>
      <c r="C43" s="5"/>
    </row>
    <row r="44" spans="1:17" x14ac:dyDescent="0.2">
      <c r="A44" s="4"/>
      <c r="B44" s="4"/>
      <c r="C44" s="5"/>
    </row>
    <row r="45" spans="1:17" x14ac:dyDescent="0.2">
      <c r="A45" s="4"/>
      <c r="B45" s="4"/>
      <c r="C45" s="5"/>
    </row>
    <row r="46" spans="1:17" x14ac:dyDescent="0.2">
      <c r="A46" s="4"/>
      <c r="B46" s="4"/>
      <c r="C46" s="5"/>
    </row>
    <row r="47" spans="1:17" x14ac:dyDescent="0.2">
      <c r="A47" s="4"/>
      <c r="B47" s="4"/>
      <c r="C47" s="5"/>
    </row>
    <row r="48" spans="1:17" x14ac:dyDescent="0.2">
      <c r="A48" s="4"/>
      <c r="B48" s="4"/>
      <c r="C48" s="5"/>
    </row>
    <row r="49" spans="1:3" x14ac:dyDescent="0.2">
      <c r="A49" s="4"/>
      <c r="B49" s="4"/>
      <c r="C49" s="5"/>
    </row>
    <row r="50" spans="1:3" x14ac:dyDescent="0.2">
      <c r="A50" s="4"/>
      <c r="B50" s="4"/>
      <c r="C50" s="5"/>
    </row>
    <row r="51" spans="1:3" x14ac:dyDescent="0.2">
      <c r="A51" s="4"/>
      <c r="B51" s="4"/>
      <c r="C51" s="5"/>
    </row>
    <row r="52" spans="1:3" x14ac:dyDescent="0.2">
      <c r="A52" s="4"/>
      <c r="B52" s="4"/>
      <c r="C52" s="5"/>
    </row>
    <row r="53" spans="1:3" x14ac:dyDescent="0.2">
      <c r="A53" s="4"/>
      <c r="B53" s="4"/>
      <c r="C53" s="5"/>
    </row>
    <row r="54" spans="1:3" x14ac:dyDescent="0.2">
      <c r="A54" s="4"/>
      <c r="B54" s="4"/>
      <c r="C54" s="5"/>
    </row>
    <row r="55" spans="1:3" x14ac:dyDescent="0.2">
      <c r="A55" s="4"/>
      <c r="B55" s="4"/>
      <c r="C55" s="5"/>
    </row>
    <row r="56" spans="1:3" x14ac:dyDescent="0.2">
      <c r="A56" s="4"/>
      <c r="B56" s="4"/>
      <c r="C56" s="5"/>
    </row>
    <row r="57" spans="1:3" x14ac:dyDescent="0.2">
      <c r="A57" s="4"/>
      <c r="B57" s="4"/>
      <c r="C57" s="5"/>
    </row>
    <row r="58" spans="1:3" x14ac:dyDescent="0.2">
      <c r="A58" s="4"/>
      <c r="B58" s="4"/>
      <c r="C58" s="5"/>
    </row>
    <row r="59" spans="1:3" x14ac:dyDescent="0.2">
      <c r="A59" s="4"/>
      <c r="B59" s="4"/>
      <c r="C59" s="5"/>
    </row>
    <row r="60" spans="1:3" x14ac:dyDescent="0.2">
      <c r="A60" s="4"/>
      <c r="B60" s="4"/>
      <c r="C60" s="5"/>
    </row>
    <row r="61" spans="1:3" x14ac:dyDescent="0.2">
      <c r="A61" s="4"/>
      <c r="B61" s="4"/>
      <c r="C61" s="5"/>
    </row>
    <row r="62" spans="1:3" x14ac:dyDescent="0.2">
      <c r="A62" s="4"/>
      <c r="B62" s="4"/>
      <c r="C62" s="5"/>
    </row>
    <row r="63" spans="1:3" x14ac:dyDescent="0.2">
      <c r="A63" s="4"/>
      <c r="B63" s="4"/>
      <c r="C63" s="5"/>
    </row>
    <row r="64" spans="1:3" x14ac:dyDescent="0.2">
      <c r="A64" s="4"/>
      <c r="B64" s="4"/>
      <c r="C64" s="5"/>
    </row>
    <row r="65" spans="1:3" x14ac:dyDescent="0.2">
      <c r="A65" s="4"/>
      <c r="B65" s="4"/>
      <c r="C65" s="5"/>
    </row>
    <row r="66" spans="1:3" x14ac:dyDescent="0.2">
      <c r="A66" s="4"/>
      <c r="B66" s="4"/>
      <c r="C66" s="5"/>
    </row>
    <row r="67" spans="1:3" x14ac:dyDescent="0.2">
      <c r="A67" s="4"/>
      <c r="B67" s="4"/>
      <c r="C67" s="5"/>
    </row>
    <row r="68" spans="1:3" x14ac:dyDescent="0.2">
      <c r="A68" s="4"/>
      <c r="B68" s="4"/>
      <c r="C68" s="5"/>
    </row>
    <row r="69" spans="1:3" x14ac:dyDescent="0.2">
      <c r="A69" s="4"/>
      <c r="B69" s="4"/>
      <c r="C69" s="5"/>
    </row>
    <row r="70" spans="1:3" x14ac:dyDescent="0.2">
      <c r="A70" s="4"/>
      <c r="B70" s="4"/>
      <c r="C70" s="5"/>
    </row>
    <row r="71" spans="1:3" x14ac:dyDescent="0.2">
      <c r="A71" s="4"/>
      <c r="B71" s="4"/>
      <c r="C71" s="5"/>
    </row>
    <row r="72" spans="1:3" x14ac:dyDescent="0.2">
      <c r="A72" s="4"/>
      <c r="B72" s="4"/>
      <c r="C72" s="5"/>
    </row>
    <row r="73" spans="1:3" x14ac:dyDescent="0.2">
      <c r="A73" s="4"/>
      <c r="B73" s="4"/>
      <c r="C73" s="5"/>
    </row>
  </sheetData>
  <sheetProtection password="B578" sheet="1" objects="1" scenarios="1"/>
  <mergeCells count="1">
    <mergeCell ref="I6:Q35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2" manualBreakCount="2">
    <brk id="58" max="6" man="1"/>
    <brk id="117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6"/>
  <sheetViews>
    <sheetView showGridLines="0" zoomScale="110" zoomScaleNormal="110" workbookViewId="0"/>
  </sheetViews>
  <sheetFormatPr defaultRowHeight="12.75" x14ac:dyDescent="0.2"/>
  <cols>
    <col min="1" max="1" width="40" style="48" customWidth="1"/>
    <col min="2" max="2" width="10" style="117" customWidth="1"/>
    <col min="3" max="5" width="14" style="118" customWidth="1"/>
    <col min="6" max="6" width="40" style="48" customWidth="1"/>
    <col min="7" max="7" width="10" style="117" customWidth="1"/>
    <col min="8" max="15" width="14" style="118" customWidth="1"/>
    <col min="16" max="16" width="40" style="48" customWidth="1"/>
    <col min="17" max="17" width="10" style="117" customWidth="1"/>
    <col min="18" max="25" width="14" style="118" customWidth="1"/>
    <col min="26" max="26" width="40" style="48" customWidth="1"/>
    <col min="27" max="27" width="10" style="117" customWidth="1"/>
    <col min="28" max="35" width="14" style="118" customWidth="1"/>
    <col min="36" max="36" width="40" style="48" customWidth="1"/>
    <col min="37" max="37" width="10" style="117" customWidth="1"/>
    <col min="38" max="45" width="14" style="118" customWidth="1"/>
    <col min="46" max="16384" width="9.140625" style="127"/>
  </cols>
  <sheetData>
    <row r="1" spans="1:6" x14ac:dyDescent="0.2">
      <c r="A1" s="63"/>
      <c r="B1" s="125"/>
      <c r="C1" s="126"/>
      <c r="D1" s="126"/>
      <c r="E1" s="126"/>
      <c r="F1" s="63"/>
    </row>
    <row r="2" spans="1:6" x14ac:dyDescent="0.2">
      <c r="A2" s="63"/>
      <c r="B2" s="66"/>
      <c r="C2" s="66"/>
      <c r="D2" s="66"/>
      <c r="E2" s="66"/>
      <c r="F2" s="63"/>
    </row>
    <row r="3" spans="1:6" x14ac:dyDescent="0.2">
      <c r="A3" s="128"/>
      <c r="B3" s="128"/>
      <c r="C3" s="128"/>
      <c r="D3" s="128"/>
      <c r="E3" s="128"/>
      <c r="F3" s="63"/>
    </row>
    <row r="4" spans="1:6" x14ac:dyDescent="0.2">
      <c r="A4" s="63"/>
      <c r="B4" s="64"/>
      <c r="C4" s="116"/>
      <c r="D4" s="116"/>
      <c r="E4" s="116"/>
      <c r="F4" s="63"/>
    </row>
    <row r="5" spans="1:6" x14ac:dyDescent="0.2">
      <c r="A5" s="63"/>
      <c r="B5" s="64"/>
      <c r="C5" s="116"/>
      <c r="D5" s="116"/>
      <c r="E5" s="116"/>
      <c r="F5" s="63"/>
    </row>
    <row r="6" spans="1:6" x14ac:dyDescent="0.2">
      <c r="A6" s="65"/>
      <c r="B6" s="66"/>
      <c r="C6" s="116"/>
      <c r="D6" s="116"/>
      <c r="E6" s="116"/>
      <c r="F6" s="63"/>
    </row>
    <row r="7" spans="1:6" x14ac:dyDescent="0.2">
      <c r="A7" s="65"/>
      <c r="B7" s="66"/>
      <c r="C7" s="116"/>
      <c r="D7" s="116"/>
      <c r="E7" s="116"/>
      <c r="F7" s="63"/>
    </row>
    <row r="8" spans="1:6" x14ac:dyDescent="0.2">
      <c r="A8" s="65"/>
      <c r="B8" s="66"/>
      <c r="C8" s="116"/>
      <c r="D8" s="116"/>
      <c r="E8" s="116"/>
      <c r="F8" s="63"/>
    </row>
    <row r="9" spans="1:6" x14ac:dyDescent="0.2">
      <c r="A9" s="128"/>
      <c r="B9" s="129"/>
      <c r="C9" s="128"/>
      <c r="D9" s="128"/>
      <c r="E9" s="128"/>
      <c r="F9" s="63"/>
    </row>
    <row r="10" spans="1:6" x14ac:dyDescent="0.2">
      <c r="A10" s="63"/>
      <c r="B10" s="64"/>
      <c r="C10" s="116"/>
      <c r="D10" s="116"/>
      <c r="E10" s="116"/>
      <c r="F10" s="63"/>
    </row>
    <row r="11" spans="1:6" x14ac:dyDescent="0.2">
      <c r="A11" s="63"/>
      <c r="B11" s="64"/>
      <c r="C11" s="116"/>
      <c r="D11" s="116"/>
      <c r="E11" s="116"/>
      <c r="F11" s="63"/>
    </row>
    <row r="12" spans="1:6" x14ac:dyDescent="0.2">
      <c r="A12" s="65"/>
      <c r="B12" s="66"/>
      <c r="C12" s="116"/>
      <c r="D12" s="116"/>
      <c r="E12" s="116"/>
      <c r="F12" s="63"/>
    </row>
    <row r="13" spans="1:6" x14ac:dyDescent="0.2">
      <c r="A13" s="65"/>
      <c r="B13" s="66"/>
      <c r="C13" s="116"/>
      <c r="D13" s="116"/>
      <c r="E13" s="116"/>
      <c r="F13" s="63"/>
    </row>
    <row r="14" spans="1:6" x14ac:dyDescent="0.2">
      <c r="A14" s="65"/>
      <c r="B14" s="66"/>
      <c r="C14" s="116"/>
      <c r="D14" s="116"/>
      <c r="E14" s="116"/>
      <c r="F14" s="63"/>
    </row>
    <row r="15" spans="1:6" x14ac:dyDescent="0.2">
      <c r="A15" s="65"/>
      <c r="B15" s="66"/>
      <c r="C15" s="116"/>
      <c r="D15" s="116"/>
      <c r="E15" s="116"/>
      <c r="F15" s="63"/>
    </row>
    <row r="16" spans="1:6" x14ac:dyDescent="0.2">
      <c r="A16" s="65"/>
      <c r="B16" s="66"/>
      <c r="C16" s="116"/>
      <c r="D16" s="116"/>
      <c r="E16" s="116"/>
      <c r="F16" s="63"/>
    </row>
    <row r="17" spans="1:6" x14ac:dyDescent="0.2">
      <c r="A17" s="128"/>
      <c r="B17" s="129"/>
      <c r="C17" s="128"/>
      <c r="D17" s="128"/>
      <c r="E17" s="128"/>
      <c r="F17" s="63"/>
    </row>
    <row r="18" spans="1:6" x14ac:dyDescent="0.2">
      <c r="A18" s="63"/>
      <c r="B18" s="64"/>
      <c r="C18" s="116"/>
      <c r="D18" s="116"/>
      <c r="E18" s="116"/>
      <c r="F18" s="63"/>
    </row>
    <row r="19" spans="1:6" x14ac:dyDescent="0.2">
      <c r="A19" s="63"/>
      <c r="B19" s="64"/>
      <c r="C19" s="116"/>
      <c r="D19" s="116"/>
      <c r="E19" s="116"/>
      <c r="F19" s="63"/>
    </row>
    <row r="20" spans="1:6" x14ac:dyDescent="0.2">
      <c r="A20" s="65"/>
      <c r="B20" s="66"/>
      <c r="C20" s="116"/>
      <c r="D20" s="116"/>
      <c r="E20" s="116"/>
      <c r="F20" s="63"/>
    </row>
    <row r="21" spans="1:6" x14ac:dyDescent="0.2">
      <c r="A21" s="65"/>
      <c r="B21" s="66"/>
      <c r="C21" s="116"/>
      <c r="D21" s="116"/>
      <c r="E21" s="116"/>
      <c r="F21" s="63"/>
    </row>
    <row r="22" spans="1:6" x14ac:dyDescent="0.2">
      <c r="A22" s="65"/>
      <c r="B22" s="66"/>
      <c r="C22" s="116"/>
      <c r="D22" s="116"/>
      <c r="E22" s="116"/>
      <c r="F22" s="63"/>
    </row>
    <row r="23" spans="1:6" x14ac:dyDescent="0.2">
      <c r="A23" s="65"/>
      <c r="B23" s="66"/>
      <c r="C23" s="116"/>
      <c r="D23" s="116"/>
      <c r="E23" s="116"/>
      <c r="F23" s="63"/>
    </row>
    <row r="24" spans="1:6" x14ac:dyDescent="0.2">
      <c r="A24" s="128"/>
      <c r="B24" s="129"/>
      <c r="C24" s="128"/>
      <c r="D24" s="128"/>
      <c r="E24" s="128"/>
      <c r="F24" s="63"/>
    </row>
    <row r="25" spans="1:6" x14ac:dyDescent="0.2">
      <c r="A25" s="63"/>
      <c r="B25" s="64"/>
      <c r="C25" s="116"/>
      <c r="D25" s="116"/>
      <c r="E25" s="116"/>
      <c r="F25" s="63"/>
    </row>
    <row r="26" spans="1:6" x14ac:dyDescent="0.2">
      <c r="A26" s="63"/>
      <c r="B26" s="64"/>
      <c r="C26" s="116"/>
      <c r="D26" s="116"/>
      <c r="E26" s="116"/>
      <c r="F26" s="63"/>
    </row>
    <row r="27" spans="1:6" x14ac:dyDescent="0.2">
      <c r="A27" s="65"/>
      <c r="B27" s="66"/>
      <c r="C27" s="116"/>
      <c r="D27" s="116"/>
      <c r="E27" s="116"/>
      <c r="F27" s="63"/>
    </row>
    <row r="28" spans="1:6" x14ac:dyDescent="0.2">
      <c r="A28" s="128"/>
      <c r="B28" s="129"/>
      <c r="C28" s="128"/>
      <c r="D28" s="128"/>
      <c r="E28" s="128"/>
      <c r="F28" s="63"/>
    </row>
    <row r="29" spans="1:6" x14ac:dyDescent="0.2">
      <c r="A29" s="63"/>
      <c r="B29" s="64"/>
      <c r="C29" s="116"/>
      <c r="D29" s="116"/>
      <c r="E29" s="116"/>
      <c r="F29" s="63"/>
    </row>
    <row r="30" spans="1:6" x14ac:dyDescent="0.2">
      <c r="A30" s="63"/>
      <c r="B30" s="64"/>
      <c r="C30" s="116"/>
      <c r="D30" s="116"/>
      <c r="E30" s="116"/>
      <c r="F30" s="63"/>
    </row>
    <row r="31" spans="1:6" x14ac:dyDescent="0.2">
      <c r="A31" s="65"/>
      <c r="B31" s="66"/>
      <c r="C31" s="116"/>
      <c r="D31" s="116"/>
      <c r="E31" s="116"/>
      <c r="F31" s="63"/>
    </row>
    <row r="32" spans="1:6" x14ac:dyDescent="0.2">
      <c r="A32" s="65"/>
      <c r="B32" s="66"/>
      <c r="C32" s="116"/>
      <c r="D32" s="116"/>
      <c r="E32" s="116"/>
      <c r="F32" s="63"/>
    </row>
    <row r="33" spans="1:6" x14ac:dyDescent="0.2">
      <c r="A33" s="128"/>
      <c r="B33" s="129"/>
      <c r="C33" s="128"/>
      <c r="D33" s="128"/>
      <c r="E33" s="128"/>
      <c r="F33" s="63"/>
    </row>
    <row r="34" spans="1:6" x14ac:dyDescent="0.2">
      <c r="A34" s="63"/>
      <c r="B34" s="64"/>
      <c r="C34" s="116"/>
      <c r="D34" s="116"/>
      <c r="E34" s="116"/>
      <c r="F34" s="63"/>
    </row>
    <row r="35" spans="1:6" x14ac:dyDescent="0.2">
      <c r="A35" s="63"/>
      <c r="B35" s="64"/>
      <c r="C35" s="116"/>
      <c r="D35" s="116"/>
      <c r="E35" s="116"/>
      <c r="F35" s="63"/>
    </row>
    <row r="36" spans="1:6" x14ac:dyDescent="0.2">
      <c r="A36" s="63"/>
      <c r="B36" s="125"/>
      <c r="C36" s="126"/>
      <c r="D36" s="126"/>
      <c r="E36" s="126"/>
      <c r="F36" s="63"/>
    </row>
    <row r="37" spans="1:6" x14ac:dyDescent="0.2">
      <c r="A37" s="63"/>
      <c r="B37" s="66"/>
      <c r="C37" s="66"/>
      <c r="D37" s="66"/>
      <c r="E37" s="66"/>
      <c r="F37" s="63"/>
    </row>
    <row r="38" spans="1:6" x14ac:dyDescent="0.2">
      <c r="A38" s="63"/>
      <c r="B38" s="64"/>
      <c r="C38" s="116"/>
      <c r="D38" s="116"/>
      <c r="E38" s="116"/>
      <c r="F38" s="63"/>
    </row>
    <row r="39" spans="1:6" x14ac:dyDescent="0.2">
      <c r="A39" s="65"/>
      <c r="B39" s="66"/>
      <c r="C39" s="116"/>
      <c r="D39" s="116"/>
      <c r="E39" s="116"/>
      <c r="F39" s="63"/>
    </row>
    <row r="40" spans="1:6" x14ac:dyDescent="0.2">
      <c r="A40" s="65"/>
      <c r="B40" s="66"/>
      <c r="C40" s="116"/>
      <c r="D40" s="116"/>
      <c r="E40" s="116"/>
      <c r="F40" s="63"/>
    </row>
    <row r="41" spans="1:6" x14ac:dyDescent="0.2">
      <c r="A41" s="65"/>
      <c r="B41" s="66"/>
      <c r="C41" s="116"/>
      <c r="D41" s="116"/>
      <c r="E41" s="116"/>
      <c r="F41" s="63"/>
    </row>
    <row r="42" spans="1:6" x14ac:dyDescent="0.2">
      <c r="A42" s="65"/>
      <c r="B42" s="66"/>
      <c r="C42" s="116"/>
      <c r="D42" s="116"/>
      <c r="E42" s="116"/>
      <c r="F42" s="63"/>
    </row>
    <row r="43" spans="1:6" x14ac:dyDescent="0.2">
      <c r="A43" s="65"/>
      <c r="B43" s="66"/>
      <c r="C43" s="116"/>
      <c r="D43" s="116"/>
      <c r="E43" s="116"/>
      <c r="F43" s="63"/>
    </row>
    <row r="44" spans="1:6" x14ac:dyDescent="0.2">
      <c r="A44" s="63"/>
      <c r="B44" s="64"/>
      <c r="C44" s="67"/>
      <c r="D44" s="67"/>
      <c r="E44" s="67"/>
      <c r="F44" s="63"/>
    </row>
    <row r="45" spans="1:6" x14ac:dyDescent="0.2">
      <c r="A45" s="63"/>
      <c r="B45" s="64"/>
      <c r="C45" s="67"/>
      <c r="D45" s="67"/>
      <c r="E45" s="67"/>
      <c r="F45" s="63"/>
    </row>
    <row r="46" spans="1:6" x14ac:dyDescent="0.2">
      <c r="A46" s="65"/>
      <c r="B46" s="66"/>
      <c r="C46" s="116"/>
      <c r="D46" s="116"/>
      <c r="E46" s="116"/>
      <c r="F46" s="63"/>
    </row>
    <row r="47" spans="1:6" x14ac:dyDescent="0.2">
      <c r="A47" s="65"/>
      <c r="B47" s="66"/>
      <c r="C47" s="116"/>
      <c r="D47" s="116"/>
      <c r="E47" s="116"/>
      <c r="F47" s="63"/>
    </row>
    <row r="48" spans="1:6" x14ac:dyDescent="0.2">
      <c r="A48" s="65"/>
      <c r="B48" s="66"/>
      <c r="C48" s="116"/>
      <c r="D48" s="116"/>
      <c r="E48" s="116"/>
      <c r="F48" s="63"/>
    </row>
    <row r="49" spans="1:11" x14ac:dyDescent="0.2">
      <c r="A49" s="65"/>
      <c r="B49" s="66"/>
      <c r="C49" s="116"/>
      <c r="D49" s="116"/>
      <c r="E49" s="116"/>
      <c r="F49" s="63"/>
    </row>
    <row r="50" spans="1:11" x14ac:dyDescent="0.2">
      <c r="A50" s="65"/>
      <c r="B50" s="66"/>
      <c r="C50" s="116"/>
      <c r="D50" s="116"/>
      <c r="E50" s="116"/>
      <c r="F50" s="63"/>
    </row>
    <row r="51" spans="1:11" x14ac:dyDescent="0.2">
      <c r="A51" s="65"/>
      <c r="B51" s="66"/>
      <c r="C51" s="116"/>
      <c r="D51" s="116"/>
      <c r="E51" s="116"/>
      <c r="F51" s="63"/>
    </row>
    <row r="52" spans="1:11" x14ac:dyDescent="0.2">
      <c r="A52" s="65"/>
      <c r="B52" s="66"/>
      <c r="C52" s="116"/>
      <c r="D52" s="116"/>
      <c r="E52" s="116"/>
      <c r="F52" s="63"/>
    </row>
    <row r="53" spans="1:11" x14ac:dyDescent="0.2">
      <c r="A53" s="63"/>
      <c r="B53" s="64"/>
      <c r="C53" s="116"/>
      <c r="D53" s="116"/>
      <c r="E53" s="116"/>
      <c r="F53" s="63"/>
    </row>
    <row r="54" spans="1:11" x14ac:dyDescent="0.2">
      <c r="A54" s="63"/>
      <c r="B54" s="64"/>
      <c r="C54" s="67"/>
      <c r="D54" s="67"/>
      <c r="E54" s="67"/>
      <c r="F54" s="63"/>
    </row>
    <row r="55" spans="1:11" x14ac:dyDescent="0.2">
      <c r="A55" s="65"/>
      <c r="B55" s="66"/>
      <c r="C55" s="116"/>
      <c r="D55" s="116"/>
      <c r="E55" s="116"/>
      <c r="F55" s="63"/>
    </row>
    <row r="56" spans="1:11" x14ac:dyDescent="0.2">
      <c r="A56" s="63"/>
      <c r="B56" s="64"/>
      <c r="C56" s="67"/>
      <c r="D56" s="67"/>
      <c r="E56" s="67"/>
      <c r="F56" s="63"/>
    </row>
    <row r="57" spans="1:11" x14ac:dyDescent="0.2">
      <c r="A57" s="63"/>
      <c r="B57" s="115"/>
      <c r="C57" s="67"/>
      <c r="D57" s="67"/>
      <c r="E57" s="67"/>
      <c r="F57" s="67"/>
      <c r="G57" s="52"/>
      <c r="H57" s="52"/>
      <c r="I57" s="52"/>
      <c r="J57" s="52"/>
      <c r="K57" s="52"/>
    </row>
    <row r="58" spans="1:11" x14ac:dyDescent="0.2">
      <c r="A58" s="130"/>
      <c r="B58" s="120"/>
      <c r="C58" s="121"/>
      <c r="D58" s="116"/>
      <c r="E58" s="67"/>
      <c r="F58" s="63"/>
    </row>
    <row r="59" spans="1:11" x14ac:dyDescent="0.2">
      <c r="A59" s="63"/>
      <c r="B59" s="64"/>
      <c r="C59" s="67"/>
      <c r="D59" s="116"/>
      <c r="E59" s="67"/>
      <c r="F59" s="63"/>
    </row>
    <row r="60" spans="1:11" x14ac:dyDescent="0.2">
      <c r="B60" s="17"/>
      <c r="E60" s="52"/>
    </row>
    <row r="61" spans="1:11" x14ac:dyDescent="0.2">
      <c r="B61" s="17"/>
      <c r="E61" s="52"/>
    </row>
    <row r="62" spans="1:11" x14ac:dyDescent="0.2">
      <c r="B62" s="17"/>
      <c r="E62" s="52"/>
    </row>
    <row r="63" spans="1:11" x14ac:dyDescent="0.2">
      <c r="B63" s="17"/>
      <c r="E63" s="52"/>
    </row>
    <row r="64" spans="1:11" x14ac:dyDescent="0.2">
      <c r="B64" s="17"/>
      <c r="E64" s="52"/>
    </row>
    <row r="65" spans="1:5" x14ac:dyDescent="0.2">
      <c r="B65" s="17"/>
      <c r="E65" s="52"/>
    </row>
    <row r="66" spans="1:5" x14ac:dyDescent="0.2">
      <c r="B66" s="17"/>
      <c r="E66" s="52"/>
    </row>
    <row r="67" spans="1:5" x14ac:dyDescent="0.2">
      <c r="B67" s="17"/>
      <c r="E67" s="52"/>
    </row>
    <row r="68" spans="1:5" x14ac:dyDescent="0.2">
      <c r="A68" s="1"/>
      <c r="B68" s="16"/>
      <c r="E68" s="52"/>
    </row>
    <row r="69" spans="1:5" x14ac:dyDescent="0.2">
      <c r="A69" s="1"/>
      <c r="B69" s="16"/>
      <c r="E69" s="52"/>
    </row>
    <row r="70" spans="1:5" x14ac:dyDescent="0.2">
      <c r="A70" s="2"/>
      <c r="B70" s="16"/>
      <c r="E70" s="52"/>
    </row>
    <row r="71" spans="1:5" x14ac:dyDescent="0.2">
      <c r="A71" s="1"/>
      <c r="B71" s="16"/>
    </row>
    <row r="72" spans="1:5" x14ac:dyDescent="0.2">
      <c r="A72" s="2"/>
      <c r="B72" s="16"/>
    </row>
    <row r="73" spans="1:5" x14ac:dyDescent="0.2">
      <c r="B73" s="17"/>
    </row>
    <row r="74" spans="1:5" x14ac:dyDescent="0.2">
      <c r="B74" s="17"/>
    </row>
    <row r="75" spans="1:5" x14ac:dyDescent="0.2">
      <c r="A75" s="1"/>
      <c r="B75" s="16"/>
    </row>
    <row r="76" spans="1:5" x14ac:dyDescent="0.2">
      <c r="B76" s="17"/>
    </row>
  </sheetData>
  <mergeCells count="1">
    <mergeCell ref="A58:C5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6"/>
  <sheetViews>
    <sheetView showGridLines="0" zoomScale="110" zoomScaleNormal="110" workbookViewId="0"/>
  </sheetViews>
  <sheetFormatPr defaultRowHeight="12.75" x14ac:dyDescent="0.2"/>
  <cols>
    <col min="1" max="1" width="40" style="48" customWidth="1"/>
    <col min="2" max="2" width="10" style="49" customWidth="1"/>
    <col min="3" max="4" width="14" style="50" customWidth="1"/>
    <col min="5" max="5" width="14" style="50" hidden="1" customWidth="1"/>
    <col min="6" max="6" width="40" style="48" customWidth="1"/>
    <col min="7" max="7" width="10" style="49" customWidth="1"/>
    <col min="8" max="15" width="14" style="50" customWidth="1"/>
    <col min="16" max="16" width="40" style="48" customWidth="1"/>
    <col min="17" max="17" width="10" style="49" customWidth="1"/>
    <col min="18" max="25" width="14" style="50" customWidth="1"/>
    <col min="26" max="26" width="40" style="48" customWidth="1"/>
    <col min="27" max="27" width="10" style="49" customWidth="1"/>
    <col min="28" max="35" width="14" style="50" customWidth="1"/>
    <col min="36" max="36" width="40" style="48" customWidth="1"/>
    <col min="37" max="37" width="10" style="49" customWidth="1"/>
    <col min="38" max="45" width="14" style="50" customWidth="1"/>
  </cols>
  <sheetData>
    <row r="1" spans="1:5" x14ac:dyDescent="0.2">
      <c r="A1" s="14" t="s">
        <v>164</v>
      </c>
      <c r="B1" s="47" t="s">
        <v>0</v>
      </c>
      <c r="C1" s="51">
        <v>2018</v>
      </c>
      <c r="D1" s="51">
        <v>2019</v>
      </c>
      <c r="E1" s="51"/>
    </row>
    <row r="2" spans="1:5" x14ac:dyDescent="0.2">
      <c r="A2" s="14" t="s">
        <v>165</v>
      </c>
      <c r="B2" s="15" t="s">
        <v>1</v>
      </c>
      <c r="C2" s="15" t="s">
        <v>167</v>
      </c>
      <c r="D2" s="15" t="s">
        <v>168</v>
      </c>
      <c r="E2" s="15"/>
    </row>
    <row r="3" spans="1:5" x14ac:dyDescent="0.2">
      <c r="A3" s="101" t="s">
        <v>169</v>
      </c>
      <c r="B3" s="102" t="s">
        <v>2</v>
      </c>
      <c r="C3" s="101">
        <f>C9+C17</f>
        <v>4632687</v>
      </c>
      <c r="D3" s="101">
        <f>D9+D17</f>
        <v>4834988</v>
      </c>
      <c r="E3" s="101"/>
    </row>
    <row r="4" spans="1:5" x14ac:dyDescent="0.2">
      <c r="A4" s="103"/>
      <c r="B4" s="104"/>
      <c r="C4" s="105"/>
      <c r="D4" s="105"/>
      <c r="E4" s="105"/>
    </row>
    <row r="5" spans="1:5" x14ac:dyDescent="0.2">
      <c r="A5" s="103" t="s">
        <v>3</v>
      </c>
      <c r="B5" s="104"/>
      <c r="C5" s="105"/>
      <c r="D5" s="105"/>
      <c r="E5" s="105"/>
    </row>
    <row r="6" spans="1:5" x14ac:dyDescent="0.2">
      <c r="A6" s="106" t="s">
        <v>85</v>
      </c>
      <c r="B6" s="107" t="s">
        <v>77</v>
      </c>
      <c r="C6" s="105">
        <v>5799</v>
      </c>
      <c r="D6" s="105">
        <v>5491</v>
      </c>
      <c r="E6" s="105"/>
    </row>
    <row r="7" spans="1:5" x14ac:dyDescent="0.2">
      <c r="A7" s="106" t="s">
        <v>4</v>
      </c>
      <c r="B7" s="107" t="s">
        <v>5</v>
      </c>
      <c r="C7" s="105">
        <v>896884</v>
      </c>
      <c r="D7" s="105">
        <v>874078</v>
      </c>
      <c r="E7" s="105"/>
    </row>
    <row r="8" spans="1:5" x14ac:dyDescent="0.2">
      <c r="A8" s="106" t="s">
        <v>72</v>
      </c>
      <c r="B8" s="107" t="s">
        <v>73</v>
      </c>
      <c r="C8" s="105">
        <v>111282</v>
      </c>
      <c r="D8" s="105">
        <v>77998</v>
      </c>
      <c r="E8" s="105"/>
    </row>
    <row r="9" spans="1:5" x14ac:dyDescent="0.2">
      <c r="A9" s="101" t="s">
        <v>170</v>
      </c>
      <c r="B9" s="102" t="s">
        <v>8</v>
      </c>
      <c r="C9" s="101">
        <f>SUM(C6:C8)</f>
        <v>1013965</v>
      </c>
      <c r="D9" s="101">
        <f>SUM(D6:D8)</f>
        <v>957567</v>
      </c>
      <c r="E9" s="101"/>
    </row>
    <row r="10" spans="1:5" x14ac:dyDescent="0.2">
      <c r="A10" s="103"/>
      <c r="B10" s="104"/>
      <c r="C10" s="105"/>
      <c r="D10" s="105"/>
      <c r="E10" s="105"/>
    </row>
    <row r="11" spans="1:5" x14ac:dyDescent="0.2">
      <c r="A11" s="103" t="s">
        <v>9</v>
      </c>
      <c r="B11" s="104"/>
      <c r="C11" s="105"/>
      <c r="D11" s="105"/>
      <c r="E11" s="105"/>
    </row>
    <row r="12" spans="1:5" x14ac:dyDescent="0.2">
      <c r="A12" s="106" t="s">
        <v>10</v>
      </c>
      <c r="B12" s="107" t="s">
        <v>11</v>
      </c>
      <c r="C12" s="105">
        <v>2825074</v>
      </c>
      <c r="D12" s="105">
        <f>2801931+20000+220000-29000</f>
        <v>3012931</v>
      </c>
      <c r="E12" s="105"/>
    </row>
    <row r="13" spans="1:5" x14ac:dyDescent="0.2">
      <c r="A13" s="106" t="s">
        <v>12</v>
      </c>
      <c r="B13" s="107" t="s">
        <v>13</v>
      </c>
      <c r="C13" s="105">
        <v>6321</v>
      </c>
      <c r="D13" s="105">
        <v>5370</v>
      </c>
      <c r="E13" s="105"/>
    </row>
    <row r="14" spans="1:5" x14ac:dyDescent="0.2">
      <c r="A14" s="106" t="s">
        <v>14</v>
      </c>
      <c r="B14" s="107" t="s">
        <v>15</v>
      </c>
      <c r="C14" s="105">
        <v>695340</v>
      </c>
      <c r="D14" s="105">
        <f>507373+200000+100000+9000-20000</f>
        <v>796373</v>
      </c>
      <c r="E14" s="105"/>
    </row>
    <row r="15" spans="1:5" ht="25.5" x14ac:dyDescent="0.2">
      <c r="A15" s="106" t="s">
        <v>16</v>
      </c>
      <c r="B15" s="107" t="s">
        <v>17</v>
      </c>
      <c r="C15" s="105">
        <v>67532</v>
      </c>
      <c r="D15" s="105">
        <f>12747+50000</f>
        <v>62747</v>
      </c>
      <c r="E15" s="105"/>
    </row>
    <row r="16" spans="1:5" x14ac:dyDescent="0.2">
      <c r="A16" s="106" t="s">
        <v>18</v>
      </c>
      <c r="B16" s="107" t="s">
        <v>19</v>
      </c>
      <c r="C16" s="105">
        <v>24455</v>
      </c>
      <c r="D16" s="105">
        <v>0</v>
      </c>
      <c r="E16" s="105"/>
    </row>
    <row r="17" spans="1:5" x14ac:dyDescent="0.2">
      <c r="A17" s="101" t="s">
        <v>170</v>
      </c>
      <c r="B17" s="102" t="s">
        <v>20</v>
      </c>
      <c r="C17" s="101">
        <f t="shared" ref="C17:D17" si="0">SUM(C12:C16)</f>
        <v>3618722</v>
      </c>
      <c r="D17" s="101">
        <f t="shared" si="0"/>
        <v>3877421</v>
      </c>
      <c r="E17" s="101"/>
    </row>
    <row r="18" spans="1:5" x14ac:dyDescent="0.2">
      <c r="A18" s="103"/>
      <c r="B18" s="104"/>
      <c r="C18" s="105"/>
      <c r="D18" s="105"/>
      <c r="E18" s="105"/>
    </row>
    <row r="19" spans="1:5" x14ac:dyDescent="0.2">
      <c r="A19" s="103" t="s">
        <v>21</v>
      </c>
      <c r="B19" s="104"/>
      <c r="C19" s="105"/>
      <c r="D19" s="105"/>
      <c r="E19" s="105"/>
    </row>
    <row r="20" spans="1:5" x14ac:dyDescent="0.2">
      <c r="A20" s="106" t="s">
        <v>22</v>
      </c>
      <c r="B20" s="107" t="s">
        <v>23</v>
      </c>
      <c r="C20" s="105">
        <v>25876</v>
      </c>
      <c r="D20" s="105">
        <v>25876</v>
      </c>
      <c r="E20" s="105"/>
    </row>
    <row r="21" spans="1:5" x14ac:dyDescent="0.2">
      <c r="A21" s="106" t="s">
        <v>88</v>
      </c>
      <c r="B21" s="107" t="s">
        <v>81</v>
      </c>
      <c r="C21" s="105">
        <v>99208</v>
      </c>
      <c r="D21" s="105">
        <f>99208-100000</f>
        <v>-792</v>
      </c>
      <c r="E21" s="105"/>
    </row>
    <row r="22" spans="1:5" x14ac:dyDescent="0.2">
      <c r="A22" s="106" t="s">
        <v>89</v>
      </c>
      <c r="B22" s="107" t="s">
        <v>82</v>
      </c>
      <c r="C22" s="105">
        <v>339052</v>
      </c>
      <c r="D22" s="105">
        <f>339052-330000</f>
        <v>9052</v>
      </c>
      <c r="E22" s="105"/>
    </row>
    <row r="23" spans="1:5" ht="25.5" x14ac:dyDescent="0.2">
      <c r="A23" s="106" t="s">
        <v>26</v>
      </c>
      <c r="B23" s="107" t="s">
        <v>27</v>
      </c>
      <c r="C23" s="105">
        <f>4904250-2000000</f>
        <v>2904250</v>
      </c>
      <c r="D23" s="105">
        <f>5059636-2000000+329000-49000</f>
        <v>3339636</v>
      </c>
      <c r="E23" s="105"/>
    </row>
    <row r="24" spans="1:5" x14ac:dyDescent="0.2">
      <c r="A24" s="101" t="s">
        <v>170</v>
      </c>
      <c r="B24" s="102" t="s">
        <v>28</v>
      </c>
      <c r="C24" s="101">
        <f t="shared" ref="C24:D24" si="1">SUM(C20:C23)</f>
        <v>3368386</v>
      </c>
      <c r="D24" s="101">
        <f t="shared" si="1"/>
        <v>3373772</v>
      </c>
      <c r="E24" s="101"/>
    </row>
    <row r="25" spans="1:5" x14ac:dyDescent="0.2">
      <c r="A25" s="103"/>
      <c r="B25" s="104"/>
      <c r="C25" s="105"/>
      <c r="D25" s="105"/>
      <c r="E25" s="105"/>
    </row>
    <row r="26" spans="1:5" x14ac:dyDescent="0.2">
      <c r="A26" s="103" t="s">
        <v>29</v>
      </c>
      <c r="B26" s="104"/>
      <c r="C26" s="105"/>
      <c r="D26" s="105"/>
      <c r="E26" s="105"/>
    </row>
    <row r="27" spans="1:5" x14ac:dyDescent="0.2">
      <c r="A27" s="106" t="s">
        <v>30</v>
      </c>
      <c r="B27" s="107" t="s">
        <v>31</v>
      </c>
      <c r="C27" s="105">
        <v>223500</v>
      </c>
      <c r="D27" s="105">
        <v>652935</v>
      </c>
      <c r="E27" s="105"/>
    </row>
    <row r="28" spans="1:5" x14ac:dyDescent="0.2">
      <c r="A28" s="101" t="s">
        <v>170</v>
      </c>
      <c r="B28" s="102" t="s">
        <v>34</v>
      </c>
      <c r="C28" s="101">
        <v>223500</v>
      </c>
      <c r="D28" s="101">
        <v>652935</v>
      </c>
      <c r="E28" s="101"/>
    </row>
    <row r="29" spans="1:5" x14ac:dyDescent="0.2">
      <c r="A29" s="103"/>
      <c r="B29" s="104"/>
      <c r="C29" s="105"/>
      <c r="D29" s="105"/>
      <c r="E29" s="105"/>
    </row>
    <row r="30" spans="1:5" x14ac:dyDescent="0.2">
      <c r="A30" s="103" t="s">
        <v>35</v>
      </c>
      <c r="B30" s="104"/>
      <c r="C30" s="105"/>
      <c r="D30" s="105"/>
      <c r="E30" s="105"/>
    </row>
    <row r="31" spans="1:5" x14ac:dyDescent="0.2">
      <c r="A31" s="106" t="s">
        <v>37</v>
      </c>
      <c r="B31" s="107" t="s">
        <v>38</v>
      </c>
      <c r="C31" s="105">
        <v>1026550</v>
      </c>
      <c r="D31" s="105">
        <f>1093415-300000</f>
        <v>793415</v>
      </c>
      <c r="E31" s="105"/>
    </row>
    <row r="32" spans="1:5" x14ac:dyDescent="0.2">
      <c r="A32" s="106" t="s">
        <v>74</v>
      </c>
      <c r="B32" s="107" t="s">
        <v>75</v>
      </c>
      <c r="C32" s="105">
        <v>14251</v>
      </c>
      <c r="D32" s="105">
        <v>14866</v>
      </c>
      <c r="E32" s="105"/>
    </row>
    <row r="33" spans="1:5" x14ac:dyDescent="0.2">
      <c r="A33" s="101" t="s">
        <v>170</v>
      </c>
      <c r="B33" s="102" t="s">
        <v>39</v>
      </c>
      <c r="C33" s="101">
        <f t="shared" ref="C33:D33" si="2">SUM(C31:C32)</f>
        <v>1040801</v>
      </c>
      <c r="D33" s="101">
        <f t="shared" si="2"/>
        <v>808281</v>
      </c>
      <c r="E33" s="101"/>
    </row>
    <row r="34" spans="1:5" x14ac:dyDescent="0.2">
      <c r="A34" s="103"/>
      <c r="B34" s="104"/>
      <c r="C34" s="105"/>
      <c r="D34" s="105"/>
      <c r="E34" s="105"/>
    </row>
    <row r="35" spans="1:5" x14ac:dyDescent="0.2">
      <c r="A35" s="103"/>
      <c r="B35" s="104"/>
      <c r="C35" s="108"/>
      <c r="D35" s="108"/>
      <c r="E35" s="108"/>
    </row>
    <row r="36" spans="1:5" x14ac:dyDescent="0.2">
      <c r="A36" s="14" t="s">
        <v>189</v>
      </c>
      <c r="B36" s="47" t="s">
        <v>0</v>
      </c>
      <c r="C36" s="51">
        <v>2018</v>
      </c>
      <c r="D36" s="51">
        <v>2019</v>
      </c>
      <c r="E36" s="109"/>
    </row>
    <row r="37" spans="1:5" x14ac:dyDescent="0.2">
      <c r="A37" s="14" t="s">
        <v>190</v>
      </c>
      <c r="B37" s="15" t="s">
        <v>1</v>
      </c>
      <c r="C37" s="15" t="s">
        <v>167</v>
      </c>
      <c r="D37" s="15" t="s">
        <v>168</v>
      </c>
      <c r="E37" s="110"/>
    </row>
    <row r="38" spans="1:5" ht="25.5" x14ac:dyDescent="0.2">
      <c r="A38" s="103" t="s">
        <v>40</v>
      </c>
      <c r="B38" s="104"/>
      <c r="C38" s="105"/>
      <c r="D38" s="105"/>
      <c r="E38" s="105"/>
    </row>
    <row r="39" spans="1:5" x14ac:dyDescent="0.2">
      <c r="A39" s="106" t="s">
        <v>41</v>
      </c>
      <c r="B39" s="107" t="s">
        <v>42</v>
      </c>
      <c r="C39" s="105">
        <v>2477584</v>
      </c>
      <c r="D39" s="105">
        <f>2107842+300000</f>
        <v>2407842</v>
      </c>
      <c r="E39" s="105"/>
    </row>
    <row r="40" spans="1:5" x14ac:dyDescent="0.2">
      <c r="A40" s="106" t="s">
        <v>43</v>
      </c>
      <c r="B40" s="107" t="s">
        <v>44</v>
      </c>
      <c r="C40" s="105">
        <v>1577299</v>
      </c>
      <c r="D40" s="105">
        <v>1475710</v>
      </c>
      <c r="E40" s="105"/>
    </row>
    <row r="41" spans="1:5" x14ac:dyDescent="0.2">
      <c r="A41" s="106" t="s">
        <v>45</v>
      </c>
      <c r="B41" s="107" t="s">
        <v>46</v>
      </c>
      <c r="C41" s="105">
        <f>C39-C40</f>
        <v>900285</v>
      </c>
      <c r="D41" s="105">
        <f t="shared" ref="D41" si="3">D39-D40</f>
        <v>932132</v>
      </c>
      <c r="E41" s="105"/>
    </row>
    <row r="42" spans="1:5" x14ac:dyDescent="0.2">
      <c r="A42" s="106" t="s">
        <v>47</v>
      </c>
      <c r="B42" s="107" t="s">
        <v>48</v>
      </c>
      <c r="C42" s="105">
        <v>22441</v>
      </c>
      <c r="D42" s="105">
        <v>24313</v>
      </c>
      <c r="E42" s="105"/>
    </row>
    <row r="43" spans="1:5" x14ac:dyDescent="0.2">
      <c r="A43" s="106" t="s">
        <v>49</v>
      </c>
      <c r="B43" s="107" t="s">
        <v>50</v>
      </c>
      <c r="C43" s="105">
        <f>C39-C40-C42</f>
        <v>877844</v>
      </c>
      <c r="D43" s="105">
        <f t="shared" ref="D43" si="4">D39-D40-D42</f>
        <v>907819</v>
      </c>
      <c r="E43" s="105"/>
    </row>
    <row r="44" spans="1:5" x14ac:dyDescent="0.2">
      <c r="A44" s="103"/>
      <c r="B44" s="104"/>
      <c r="C44" s="111"/>
      <c r="D44" s="111"/>
      <c r="E44" s="111"/>
    </row>
    <row r="45" spans="1:5" x14ac:dyDescent="0.2">
      <c r="A45" s="103" t="s">
        <v>51</v>
      </c>
      <c r="B45" s="104"/>
      <c r="C45" s="111"/>
      <c r="D45" s="111"/>
      <c r="E45" s="111"/>
    </row>
    <row r="46" spans="1:5" x14ac:dyDescent="0.2">
      <c r="A46" s="106" t="s">
        <v>52</v>
      </c>
      <c r="B46" s="107" t="s">
        <v>53</v>
      </c>
      <c r="C46" s="105">
        <v>44041</v>
      </c>
      <c r="D46" s="105">
        <v>87177</v>
      </c>
      <c r="E46" s="105"/>
    </row>
    <row r="47" spans="1:5" x14ac:dyDescent="0.2">
      <c r="A47" s="106" t="s">
        <v>54</v>
      </c>
      <c r="B47" s="107" t="s">
        <v>55</v>
      </c>
      <c r="C47" s="105">
        <v>18886</v>
      </c>
      <c r="D47" s="105">
        <v>12249</v>
      </c>
      <c r="E47" s="105"/>
    </row>
    <row r="48" spans="1:5" x14ac:dyDescent="0.2">
      <c r="A48" s="106" t="s">
        <v>56</v>
      </c>
      <c r="B48" s="107" t="s">
        <v>57</v>
      </c>
      <c r="C48" s="105">
        <v>45804</v>
      </c>
      <c r="D48" s="105">
        <v>292943</v>
      </c>
      <c r="E48" s="105"/>
    </row>
    <row r="49" spans="1:11" x14ac:dyDescent="0.2">
      <c r="A49" s="106" t="s">
        <v>58</v>
      </c>
      <c r="B49" s="107" t="s">
        <v>59</v>
      </c>
      <c r="C49" s="105">
        <f>C43-C46+C47-C48</f>
        <v>806885</v>
      </c>
      <c r="D49" s="105">
        <f>D43-D46+D47-D48</f>
        <v>539948</v>
      </c>
      <c r="E49" s="105"/>
    </row>
    <row r="50" spans="1:11" x14ac:dyDescent="0.2">
      <c r="A50" s="106" t="s">
        <v>60</v>
      </c>
      <c r="B50" s="107" t="s">
        <v>61</v>
      </c>
      <c r="C50" s="105">
        <v>153482</v>
      </c>
      <c r="D50" s="105">
        <f>82877-29000+49000</f>
        <v>102877</v>
      </c>
      <c r="E50" s="105"/>
    </row>
    <row r="51" spans="1:11" x14ac:dyDescent="0.2">
      <c r="A51" s="106" t="s">
        <v>65</v>
      </c>
      <c r="B51" s="107" t="s">
        <v>66</v>
      </c>
      <c r="C51" s="105">
        <v>-157</v>
      </c>
      <c r="D51" s="105">
        <v>-1685</v>
      </c>
      <c r="E51" s="105"/>
    </row>
    <row r="52" spans="1:11" x14ac:dyDescent="0.2">
      <c r="A52" s="106" t="s">
        <v>67</v>
      </c>
      <c r="B52" s="107" t="s">
        <v>68</v>
      </c>
      <c r="C52" s="105">
        <f>C49-C50+C51</f>
        <v>653246</v>
      </c>
      <c r="D52" s="105">
        <f>D49-D50+D51</f>
        <v>435386</v>
      </c>
      <c r="E52" s="105"/>
    </row>
    <row r="53" spans="1:11" x14ac:dyDescent="0.2">
      <c r="A53" s="103"/>
      <c r="B53" s="104"/>
      <c r="C53" s="105"/>
      <c r="D53" s="105"/>
      <c r="E53" s="105"/>
    </row>
    <row r="54" spans="1:11" x14ac:dyDescent="0.2">
      <c r="A54" s="103" t="s">
        <v>69</v>
      </c>
      <c r="B54" s="104"/>
      <c r="C54" s="111"/>
      <c r="D54" s="111"/>
      <c r="E54" s="111"/>
    </row>
    <row r="55" spans="1:11" ht="25.5" x14ac:dyDescent="0.2">
      <c r="A55" s="106" t="s">
        <v>70</v>
      </c>
      <c r="B55" s="107" t="s">
        <v>71</v>
      </c>
      <c r="C55" s="105">
        <f>C52</f>
        <v>653246</v>
      </c>
      <c r="D55" s="105">
        <f>D52</f>
        <v>435386</v>
      </c>
      <c r="E55" s="105"/>
    </row>
    <row r="56" spans="1:11" x14ac:dyDescent="0.2">
      <c r="B56" s="17"/>
      <c r="C56" s="52"/>
      <c r="D56" s="52"/>
      <c r="E56" s="52"/>
    </row>
    <row r="57" spans="1:11" x14ac:dyDescent="0.2">
      <c r="C57" s="52"/>
      <c r="D57" s="52"/>
      <c r="E57" s="52"/>
      <c r="F57" s="52"/>
      <c r="G57" s="52"/>
      <c r="H57" s="52"/>
      <c r="I57" s="52"/>
      <c r="J57" s="52"/>
      <c r="K57" s="52"/>
    </row>
    <row r="58" spans="1:11" x14ac:dyDescent="0.2">
      <c r="A58" s="122" t="s">
        <v>171</v>
      </c>
      <c r="B58" s="123"/>
      <c r="C58" s="124"/>
      <c r="E58" s="52"/>
    </row>
    <row r="59" spans="1:11" x14ac:dyDescent="0.2">
      <c r="B59" s="17"/>
      <c r="C59" s="52"/>
      <c r="E59" s="52"/>
    </row>
    <row r="60" spans="1:11" x14ac:dyDescent="0.2">
      <c r="B60" s="17"/>
      <c r="E60" s="52"/>
    </row>
    <row r="61" spans="1:11" x14ac:dyDescent="0.2">
      <c r="B61" s="17"/>
      <c r="E61" s="52"/>
    </row>
    <row r="62" spans="1:11" x14ac:dyDescent="0.2">
      <c r="B62" s="17"/>
      <c r="E62" s="52"/>
    </row>
    <row r="63" spans="1:11" x14ac:dyDescent="0.2">
      <c r="B63" s="17"/>
      <c r="E63" s="52"/>
    </row>
    <row r="64" spans="1:11" x14ac:dyDescent="0.2">
      <c r="B64" s="17"/>
      <c r="E64" s="52"/>
    </row>
    <row r="65" spans="1:5" x14ac:dyDescent="0.2">
      <c r="B65" s="17"/>
      <c r="E65" s="52"/>
    </row>
    <row r="66" spans="1:5" x14ac:dyDescent="0.2">
      <c r="B66" s="17"/>
      <c r="E66" s="52"/>
    </row>
    <row r="67" spans="1:5" x14ac:dyDescent="0.2">
      <c r="B67" s="17"/>
      <c r="E67" s="52"/>
    </row>
    <row r="68" spans="1:5" x14ac:dyDescent="0.2">
      <c r="A68" s="1"/>
      <c r="B68" s="16"/>
      <c r="E68" s="52"/>
    </row>
    <row r="69" spans="1:5" x14ac:dyDescent="0.2">
      <c r="A69" s="1"/>
      <c r="B69" s="16"/>
      <c r="E69" s="52"/>
    </row>
    <row r="70" spans="1:5" x14ac:dyDescent="0.2">
      <c r="A70" s="2"/>
      <c r="B70" s="16"/>
      <c r="E70" s="52"/>
    </row>
    <row r="71" spans="1:5" x14ac:dyDescent="0.2">
      <c r="A71" s="1"/>
      <c r="B71" s="16"/>
    </row>
    <row r="72" spans="1:5" x14ac:dyDescent="0.2">
      <c r="A72" s="2"/>
      <c r="B72" s="16"/>
    </row>
    <row r="73" spans="1:5" x14ac:dyDescent="0.2">
      <c r="B73" s="17"/>
    </row>
    <row r="74" spans="1:5" x14ac:dyDescent="0.2">
      <c r="B74" s="17"/>
    </row>
    <row r="75" spans="1:5" x14ac:dyDescent="0.2">
      <c r="A75" s="1"/>
      <c r="B75" s="16"/>
    </row>
    <row r="76" spans="1:5" x14ac:dyDescent="0.2">
      <c r="B76" s="17"/>
    </row>
  </sheetData>
  <mergeCells count="1">
    <mergeCell ref="A58:C58"/>
  </mergeCells>
  <pageMargins left="0.7" right="0.7" top="0.75" bottom="0.75" header="0.3" footer="0.3"/>
  <pageSetup paperSize="9" orientation="portrait" r:id="rId1"/>
  <ignoredErrors>
    <ignoredError sqref="B3:B5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6"/>
  <sheetViews>
    <sheetView showGridLines="0" zoomScale="110" zoomScaleNormal="110" workbookViewId="0"/>
  </sheetViews>
  <sheetFormatPr defaultRowHeight="12.75" x14ac:dyDescent="0.2"/>
  <cols>
    <col min="1" max="1" width="40" style="12" customWidth="1"/>
    <col min="2" max="2" width="10" style="13" customWidth="1"/>
    <col min="3" max="4" width="14" style="50" customWidth="1"/>
    <col min="5" max="5" width="14" style="50" hidden="1" customWidth="1"/>
    <col min="6" max="6" width="40" style="12" customWidth="1"/>
    <col min="7" max="7" width="10" style="13" customWidth="1"/>
    <col min="8" max="15" width="14" style="11" customWidth="1"/>
    <col min="16" max="16" width="40" style="12" customWidth="1"/>
    <col min="17" max="17" width="10" style="13" customWidth="1"/>
    <col min="18" max="25" width="14" style="11" customWidth="1"/>
    <col min="26" max="26" width="40" style="12" customWidth="1"/>
    <col min="27" max="27" width="10" style="13" customWidth="1"/>
    <col min="28" max="35" width="14" style="11" customWidth="1"/>
    <col min="36" max="36" width="40" style="12" customWidth="1"/>
    <col min="37" max="37" width="10" style="13" customWidth="1"/>
    <col min="38" max="45" width="14" style="11" customWidth="1"/>
  </cols>
  <sheetData>
    <row r="1" spans="1:5" x14ac:dyDescent="0.2">
      <c r="A1" s="14" t="s">
        <v>164</v>
      </c>
      <c r="B1" s="47" t="s">
        <v>0</v>
      </c>
      <c r="C1" s="51">
        <v>2018</v>
      </c>
      <c r="D1" s="51">
        <v>2019</v>
      </c>
      <c r="E1" s="109"/>
    </row>
    <row r="2" spans="1:5" x14ac:dyDescent="0.2">
      <c r="A2" s="14" t="s">
        <v>165</v>
      </c>
      <c r="B2" s="15" t="s">
        <v>1</v>
      </c>
      <c r="C2" s="15" t="s">
        <v>167</v>
      </c>
      <c r="D2" s="15" t="s">
        <v>168</v>
      </c>
      <c r="E2" s="110"/>
    </row>
    <row r="3" spans="1:5" x14ac:dyDescent="0.2">
      <c r="A3" s="101" t="s">
        <v>169</v>
      </c>
      <c r="B3" s="102" t="s">
        <v>2</v>
      </c>
      <c r="C3" s="101">
        <f>C9+C17</f>
        <v>4632687</v>
      </c>
      <c r="D3" s="101">
        <f>D9+D17</f>
        <v>4834988</v>
      </c>
      <c r="E3" s="101"/>
    </row>
    <row r="4" spans="1:5" x14ac:dyDescent="0.2">
      <c r="A4" s="103"/>
      <c r="B4" s="104"/>
      <c r="C4" s="105"/>
      <c r="D4" s="105"/>
      <c r="E4" s="105"/>
    </row>
    <row r="5" spans="1:5" x14ac:dyDescent="0.2">
      <c r="A5" s="103" t="s">
        <v>3</v>
      </c>
      <c r="B5" s="104"/>
      <c r="C5" s="105"/>
      <c r="D5" s="105"/>
      <c r="E5" s="105"/>
    </row>
    <row r="6" spans="1:5" x14ac:dyDescent="0.2">
      <c r="A6" s="106" t="s">
        <v>85</v>
      </c>
      <c r="B6" s="107" t="s">
        <v>77</v>
      </c>
      <c r="C6" s="105">
        <v>5799</v>
      </c>
      <c r="D6" s="105">
        <v>5491</v>
      </c>
      <c r="E6" s="105"/>
    </row>
    <row r="7" spans="1:5" x14ac:dyDescent="0.2">
      <c r="A7" s="106" t="s">
        <v>4</v>
      </c>
      <c r="B7" s="107" t="s">
        <v>5</v>
      </c>
      <c r="C7" s="105">
        <v>896884</v>
      </c>
      <c r="D7" s="105">
        <v>874078</v>
      </c>
      <c r="E7" s="105"/>
    </row>
    <row r="8" spans="1:5" x14ac:dyDescent="0.2">
      <c r="A8" s="106" t="s">
        <v>72</v>
      </c>
      <c r="B8" s="107" t="s">
        <v>73</v>
      </c>
      <c r="C8" s="105">
        <v>111282</v>
      </c>
      <c r="D8" s="105">
        <v>77998</v>
      </c>
      <c r="E8" s="105"/>
    </row>
    <row r="9" spans="1:5" x14ac:dyDescent="0.2">
      <c r="A9" s="101" t="s">
        <v>170</v>
      </c>
      <c r="B9" s="102" t="s">
        <v>8</v>
      </c>
      <c r="C9" s="101">
        <f>SUM(C6:C8)</f>
        <v>1013965</v>
      </c>
      <c r="D9" s="101">
        <f>SUM(D6:D8)</f>
        <v>957567</v>
      </c>
      <c r="E9" s="101"/>
    </row>
    <row r="10" spans="1:5" x14ac:dyDescent="0.2">
      <c r="A10" s="103"/>
      <c r="B10" s="104"/>
      <c r="C10" s="105"/>
      <c r="D10" s="105"/>
      <c r="E10" s="105"/>
    </row>
    <row r="11" spans="1:5" x14ac:dyDescent="0.2">
      <c r="A11" s="103" t="s">
        <v>9</v>
      </c>
      <c r="B11" s="104"/>
      <c r="C11" s="105"/>
      <c r="D11" s="105"/>
      <c r="E11" s="105"/>
    </row>
    <row r="12" spans="1:5" x14ac:dyDescent="0.2">
      <c r="A12" s="106" t="s">
        <v>10</v>
      </c>
      <c r="B12" s="107" t="s">
        <v>11</v>
      </c>
      <c r="C12" s="105">
        <v>2825074</v>
      </c>
      <c r="D12" s="105">
        <f>2801931+20000+220000-29000</f>
        <v>3012931</v>
      </c>
      <c r="E12" s="105"/>
    </row>
    <row r="13" spans="1:5" x14ac:dyDescent="0.2">
      <c r="A13" s="106" t="s">
        <v>12</v>
      </c>
      <c r="B13" s="107" t="s">
        <v>13</v>
      </c>
      <c r="C13" s="105">
        <v>6321</v>
      </c>
      <c r="D13" s="105">
        <v>5370</v>
      </c>
      <c r="E13" s="105"/>
    </row>
    <row r="14" spans="1:5" x14ac:dyDescent="0.2">
      <c r="A14" s="106" t="s">
        <v>14</v>
      </c>
      <c r="B14" s="107" t="s">
        <v>15</v>
      </c>
      <c r="C14" s="105">
        <v>695340</v>
      </c>
      <c r="D14" s="105">
        <f>507373+200000+100000+9000-20000</f>
        <v>796373</v>
      </c>
      <c r="E14" s="105"/>
    </row>
    <row r="15" spans="1:5" ht="25.5" x14ac:dyDescent="0.2">
      <c r="A15" s="106" t="s">
        <v>16</v>
      </c>
      <c r="B15" s="107" t="s">
        <v>17</v>
      </c>
      <c r="C15" s="105">
        <v>67532</v>
      </c>
      <c r="D15" s="105">
        <f>12747+50000</f>
        <v>62747</v>
      </c>
      <c r="E15" s="105"/>
    </row>
    <row r="16" spans="1:5" x14ac:dyDescent="0.2">
      <c r="A16" s="106" t="s">
        <v>18</v>
      </c>
      <c r="B16" s="107" t="s">
        <v>19</v>
      </c>
      <c r="C16" s="105">
        <v>24455</v>
      </c>
      <c r="D16" s="105">
        <v>0</v>
      </c>
      <c r="E16" s="105"/>
    </row>
    <row r="17" spans="1:5" x14ac:dyDescent="0.2">
      <c r="A17" s="101" t="s">
        <v>170</v>
      </c>
      <c r="B17" s="102" t="s">
        <v>20</v>
      </c>
      <c r="C17" s="101">
        <f t="shared" ref="C17" si="0">SUM(C12:C16)</f>
        <v>3618722</v>
      </c>
      <c r="D17" s="101">
        <f t="shared" ref="D17" si="1">SUM(D12:D16)</f>
        <v>3877421</v>
      </c>
      <c r="E17" s="101"/>
    </row>
    <row r="18" spans="1:5" x14ac:dyDescent="0.2">
      <c r="A18" s="103"/>
      <c r="B18" s="104"/>
      <c r="C18" s="105"/>
      <c r="D18" s="105"/>
      <c r="E18" s="105"/>
    </row>
    <row r="19" spans="1:5" x14ac:dyDescent="0.2">
      <c r="A19" s="103" t="s">
        <v>21</v>
      </c>
      <c r="B19" s="104"/>
      <c r="C19" s="105"/>
      <c r="D19" s="105"/>
      <c r="E19" s="105"/>
    </row>
    <row r="20" spans="1:5" x14ac:dyDescent="0.2">
      <c r="A20" s="106" t="s">
        <v>22</v>
      </c>
      <c r="B20" s="107" t="s">
        <v>23</v>
      </c>
      <c r="C20" s="105">
        <v>25876</v>
      </c>
      <c r="D20" s="105">
        <v>25876</v>
      </c>
      <c r="E20" s="105"/>
    </row>
    <row r="21" spans="1:5" x14ac:dyDescent="0.2">
      <c r="A21" s="106" t="s">
        <v>88</v>
      </c>
      <c r="B21" s="107" t="s">
        <v>81</v>
      </c>
      <c r="C21" s="105">
        <v>99208</v>
      </c>
      <c r="D21" s="105">
        <f>99208-100000</f>
        <v>-792</v>
      </c>
      <c r="E21" s="105"/>
    </row>
    <row r="22" spans="1:5" x14ac:dyDescent="0.2">
      <c r="A22" s="106" t="s">
        <v>89</v>
      </c>
      <c r="B22" s="107" t="s">
        <v>82</v>
      </c>
      <c r="C22" s="105">
        <v>339052</v>
      </c>
      <c r="D22" s="105">
        <f>339052-330000</f>
        <v>9052</v>
      </c>
      <c r="E22" s="105"/>
    </row>
    <row r="23" spans="1:5" ht="25.5" x14ac:dyDescent="0.2">
      <c r="A23" s="106" t="s">
        <v>26</v>
      </c>
      <c r="B23" s="107" t="s">
        <v>27</v>
      </c>
      <c r="C23" s="105">
        <f>4904250-2000000</f>
        <v>2904250</v>
      </c>
      <c r="D23" s="105">
        <f>5059636-2000000+329000-49000</f>
        <v>3339636</v>
      </c>
      <c r="E23" s="105"/>
    </row>
    <row r="24" spans="1:5" x14ac:dyDescent="0.2">
      <c r="A24" s="101" t="s">
        <v>170</v>
      </c>
      <c r="B24" s="102" t="s">
        <v>28</v>
      </c>
      <c r="C24" s="101">
        <f t="shared" ref="C24" si="2">SUM(C20:C23)</f>
        <v>3368386</v>
      </c>
      <c r="D24" s="101">
        <f t="shared" ref="D24" si="3">SUM(D20:D23)</f>
        <v>3373772</v>
      </c>
      <c r="E24" s="101"/>
    </row>
    <row r="25" spans="1:5" x14ac:dyDescent="0.2">
      <c r="A25" s="103"/>
      <c r="B25" s="104"/>
      <c r="C25" s="105"/>
      <c r="D25" s="105"/>
      <c r="E25" s="105"/>
    </row>
    <row r="26" spans="1:5" x14ac:dyDescent="0.2">
      <c r="A26" s="103" t="s">
        <v>29</v>
      </c>
      <c r="B26" s="104"/>
      <c r="C26" s="105"/>
      <c r="D26" s="105"/>
      <c r="E26" s="105"/>
    </row>
    <row r="27" spans="1:5" x14ac:dyDescent="0.2">
      <c r="A27" s="106" t="s">
        <v>30</v>
      </c>
      <c r="B27" s="107" t="s">
        <v>31</v>
      </c>
      <c r="C27" s="105">
        <v>223500</v>
      </c>
      <c r="D27" s="105">
        <v>652935</v>
      </c>
      <c r="E27" s="105"/>
    </row>
    <row r="28" spans="1:5" x14ac:dyDescent="0.2">
      <c r="A28" s="101" t="s">
        <v>170</v>
      </c>
      <c r="B28" s="102" t="s">
        <v>34</v>
      </c>
      <c r="C28" s="101">
        <v>223500</v>
      </c>
      <c r="D28" s="101">
        <v>652935</v>
      </c>
      <c r="E28" s="101"/>
    </row>
    <row r="29" spans="1:5" x14ac:dyDescent="0.2">
      <c r="A29" s="103"/>
      <c r="B29" s="104"/>
      <c r="C29" s="105"/>
      <c r="D29" s="105"/>
      <c r="E29" s="105"/>
    </row>
    <row r="30" spans="1:5" x14ac:dyDescent="0.2">
      <c r="A30" s="103" t="s">
        <v>35</v>
      </c>
      <c r="B30" s="104"/>
      <c r="C30" s="105"/>
      <c r="D30" s="105"/>
      <c r="E30" s="105"/>
    </row>
    <row r="31" spans="1:5" x14ac:dyDescent="0.2">
      <c r="A31" s="106" t="s">
        <v>37</v>
      </c>
      <c r="B31" s="107" t="s">
        <v>38</v>
      </c>
      <c r="C31" s="105">
        <v>1026550</v>
      </c>
      <c r="D31" s="105">
        <f>1093415-300000</f>
        <v>793415</v>
      </c>
      <c r="E31" s="105"/>
    </row>
    <row r="32" spans="1:5" x14ac:dyDescent="0.2">
      <c r="A32" s="106" t="s">
        <v>74</v>
      </c>
      <c r="B32" s="107" t="s">
        <v>75</v>
      </c>
      <c r="C32" s="105">
        <v>14251</v>
      </c>
      <c r="D32" s="105">
        <v>14866</v>
      </c>
      <c r="E32" s="105"/>
    </row>
    <row r="33" spans="1:45" x14ac:dyDescent="0.2">
      <c r="A33" s="101" t="s">
        <v>170</v>
      </c>
      <c r="B33" s="102" t="s">
        <v>39</v>
      </c>
      <c r="C33" s="101">
        <f t="shared" ref="C33:D33" si="4">SUM(C31:C32)</f>
        <v>1040801</v>
      </c>
      <c r="D33" s="101">
        <f t="shared" si="4"/>
        <v>808281</v>
      </c>
      <c r="E33" s="101"/>
      <c r="F33" s="48"/>
      <c r="G33" s="49"/>
      <c r="H33" s="50"/>
      <c r="I33" s="50"/>
      <c r="J33" s="50"/>
      <c r="K33" s="50"/>
      <c r="L33" s="50"/>
      <c r="M33" s="50"/>
      <c r="N33" s="50"/>
      <c r="O33" s="50"/>
      <c r="P33" s="48"/>
      <c r="Q33" s="49"/>
      <c r="R33" s="50"/>
      <c r="S33" s="50"/>
      <c r="T33" s="50"/>
      <c r="U33" s="50"/>
      <c r="V33" s="50"/>
      <c r="W33" s="50"/>
      <c r="X33" s="50"/>
      <c r="Y33" s="50"/>
      <c r="Z33" s="48"/>
      <c r="AA33" s="49"/>
      <c r="AB33" s="50"/>
      <c r="AC33" s="50"/>
      <c r="AD33" s="50"/>
      <c r="AE33" s="50"/>
      <c r="AF33" s="50"/>
      <c r="AG33" s="50"/>
      <c r="AH33" s="50"/>
      <c r="AI33" s="50"/>
      <c r="AJ33" s="48"/>
      <c r="AK33" s="49"/>
      <c r="AL33" s="50"/>
      <c r="AM33" s="50"/>
      <c r="AN33" s="50"/>
      <c r="AO33" s="50"/>
      <c r="AP33" s="50"/>
      <c r="AQ33" s="50"/>
      <c r="AR33" s="50"/>
      <c r="AS33" s="50"/>
    </row>
    <row r="34" spans="1:45" x14ac:dyDescent="0.2">
      <c r="A34" s="103"/>
      <c r="B34" s="104"/>
      <c r="C34" s="105"/>
      <c r="D34" s="105"/>
      <c r="E34" s="105"/>
    </row>
    <row r="35" spans="1:45" x14ac:dyDescent="0.2">
      <c r="A35" s="103"/>
      <c r="B35" s="104"/>
      <c r="C35" s="108"/>
      <c r="D35" s="108"/>
      <c r="E35" s="108"/>
    </row>
    <row r="36" spans="1:45" x14ac:dyDescent="0.2">
      <c r="A36" s="14" t="s">
        <v>189</v>
      </c>
      <c r="B36" s="47" t="s">
        <v>0</v>
      </c>
      <c r="C36" s="51">
        <v>2018</v>
      </c>
      <c r="D36" s="51">
        <v>2019</v>
      </c>
      <c r="E36" s="109"/>
    </row>
    <row r="37" spans="1:45" x14ac:dyDescent="0.2">
      <c r="A37" s="14" t="s">
        <v>190</v>
      </c>
      <c r="B37" s="15" t="s">
        <v>1</v>
      </c>
      <c r="C37" s="15" t="s">
        <v>167</v>
      </c>
      <c r="D37" s="15" t="s">
        <v>168</v>
      </c>
      <c r="E37" s="110"/>
    </row>
    <row r="38" spans="1:45" ht="25.5" x14ac:dyDescent="0.2">
      <c r="A38" s="103" t="s">
        <v>40</v>
      </c>
      <c r="B38" s="104"/>
      <c r="C38" s="105"/>
      <c r="D38" s="105"/>
      <c r="E38" s="105"/>
    </row>
    <row r="39" spans="1:45" x14ac:dyDescent="0.2">
      <c r="A39" s="106" t="s">
        <v>41</v>
      </c>
      <c r="B39" s="107" t="s">
        <v>42</v>
      </c>
      <c r="C39" s="105">
        <v>2477584</v>
      </c>
      <c r="D39" s="105">
        <f>2107842+300000</f>
        <v>2407842</v>
      </c>
      <c r="E39" s="105"/>
    </row>
    <row r="40" spans="1:45" x14ac:dyDescent="0.2">
      <c r="A40" s="106" t="s">
        <v>43</v>
      </c>
      <c r="B40" s="107" t="s">
        <v>44</v>
      </c>
      <c r="C40" s="105">
        <v>1577299</v>
      </c>
      <c r="D40" s="105">
        <v>1475710</v>
      </c>
      <c r="E40" s="105"/>
    </row>
    <row r="41" spans="1:45" x14ac:dyDescent="0.2">
      <c r="A41" s="106" t="s">
        <v>45</v>
      </c>
      <c r="B41" s="107" t="s">
        <v>46</v>
      </c>
      <c r="C41" s="105">
        <f>C39-C40</f>
        <v>900285</v>
      </c>
      <c r="D41" s="105">
        <f t="shared" ref="D41" si="5">D39-D40</f>
        <v>932132</v>
      </c>
      <c r="E41" s="105"/>
    </row>
    <row r="42" spans="1:45" x14ac:dyDescent="0.2">
      <c r="A42" s="106" t="s">
        <v>47</v>
      </c>
      <c r="B42" s="107" t="s">
        <v>48</v>
      </c>
      <c r="C42" s="105">
        <v>22441</v>
      </c>
      <c r="D42" s="105">
        <v>24313</v>
      </c>
      <c r="E42" s="105"/>
    </row>
    <row r="43" spans="1:45" x14ac:dyDescent="0.2">
      <c r="A43" s="106" t="s">
        <v>49</v>
      </c>
      <c r="B43" s="107" t="s">
        <v>50</v>
      </c>
      <c r="C43" s="105">
        <f>C39-C40-C42</f>
        <v>877844</v>
      </c>
      <c r="D43" s="105">
        <f t="shared" ref="D43" si="6">D39-D40-D42</f>
        <v>907819</v>
      </c>
      <c r="E43" s="105"/>
    </row>
    <row r="44" spans="1:45" x14ac:dyDescent="0.2">
      <c r="A44" s="103"/>
      <c r="B44" s="104"/>
      <c r="C44" s="111"/>
      <c r="D44" s="111"/>
      <c r="E44" s="111"/>
    </row>
    <row r="45" spans="1:45" x14ac:dyDescent="0.2">
      <c r="A45" s="103" t="s">
        <v>51</v>
      </c>
      <c r="B45" s="104"/>
      <c r="C45" s="111"/>
      <c r="D45" s="111"/>
      <c r="E45" s="111"/>
    </row>
    <row r="46" spans="1:45" x14ac:dyDescent="0.2">
      <c r="A46" s="106" t="s">
        <v>52</v>
      </c>
      <c r="B46" s="107" t="s">
        <v>53</v>
      </c>
      <c r="C46" s="105">
        <v>44041</v>
      </c>
      <c r="D46" s="105">
        <v>87177</v>
      </c>
      <c r="E46" s="105"/>
    </row>
    <row r="47" spans="1:45" x14ac:dyDescent="0.2">
      <c r="A47" s="106" t="s">
        <v>54</v>
      </c>
      <c r="B47" s="107" t="s">
        <v>55</v>
      </c>
      <c r="C47" s="105">
        <v>18886</v>
      </c>
      <c r="D47" s="105">
        <v>12249</v>
      </c>
      <c r="E47" s="105"/>
    </row>
    <row r="48" spans="1:45" x14ac:dyDescent="0.2">
      <c r="A48" s="106" t="s">
        <v>56</v>
      </c>
      <c r="B48" s="107" t="s">
        <v>57</v>
      </c>
      <c r="C48" s="105">
        <v>45804</v>
      </c>
      <c r="D48" s="105">
        <v>292943</v>
      </c>
      <c r="E48" s="105"/>
    </row>
    <row r="49" spans="1:11" x14ac:dyDescent="0.2">
      <c r="A49" s="106" t="s">
        <v>58</v>
      </c>
      <c r="B49" s="107" t="s">
        <v>59</v>
      </c>
      <c r="C49" s="105">
        <f>C43-C46+C47-C48</f>
        <v>806885</v>
      </c>
      <c r="D49" s="105">
        <f>D43-D46+D47-D48</f>
        <v>539948</v>
      </c>
      <c r="E49" s="105"/>
    </row>
    <row r="50" spans="1:11" x14ac:dyDescent="0.2">
      <c r="A50" s="106" t="s">
        <v>60</v>
      </c>
      <c r="B50" s="107" t="s">
        <v>61</v>
      </c>
      <c r="C50" s="105">
        <v>153482</v>
      </c>
      <c r="D50" s="105">
        <f>82877-29000+49000</f>
        <v>102877</v>
      </c>
      <c r="E50" s="105"/>
    </row>
    <row r="51" spans="1:11" x14ac:dyDescent="0.2">
      <c r="A51" s="106" t="s">
        <v>65</v>
      </c>
      <c r="B51" s="107" t="s">
        <v>66</v>
      </c>
      <c r="C51" s="105">
        <v>-157</v>
      </c>
      <c r="D51" s="105">
        <v>-1685</v>
      </c>
      <c r="E51" s="105"/>
    </row>
    <row r="52" spans="1:11" x14ac:dyDescent="0.2">
      <c r="A52" s="106" t="s">
        <v>67</v>
      </c>
      <c r="B52" s="107" t="s">
        <v>68</v>
      </c>
      <c r="C52" s="105">
        <f>C49-C50+C51</f>
        <v>653246</v>
      </c>
      <c r="D52" s="105">
        <f>D49-D50+D51</f>
        <v>435386</v>
      </c>
      <c r="E52" s="105"/>
    </row>
    <row r="53" spans="1:11" x14ac:dyDescent="0.2">
      <c r="A53" s="103"/>
      <c r="B53" s="104"/>
      <c r="C53" s="105"/>
      <c r="D53" s="105"/>
      <c r="E53" s="105"/>
    </row>
    <row r="54" spans="1:11" x14ac:dyDescent="0.2">
      <c r="A54" s="103" t="s">
        <v>69</v>
      </c>
      <c r="B54" s="104"/>
      <c r="C54" s="111"/>
      <c r="D54" s="111"/>
      <c r="E54" s="111"/>
    </row>
    <row r="55" spans="1:11" ht="25.5" x14ac:dyDescent="0.2">
      <c r="A55" s="106" t="s">
        <v>70</v>
      </c>
      <c r="B55" s="107" t="s">
        <v>71</v>
      </c>
      <c r="C55" s="105">
        <f>C52</f>
        <v>653246</v>
      </c>
      <c r="D55" s="105">
        <f>D52</f>
        <v>435386</v>
      </c>
      <c r="E55" s="105"/>
    </row>
    <row r="56" spans="1:11" x14ac:dyDescent="0.2">
      <c r="A56" s="48"/>
      <c r="B56" s="17"/>
      <c r="C56" s="52"/>
      <c r="D56" s="52"/>
      <c r="E56" s="52"/>
    </row>
    <row r="57" spans="1:11" x14ac:dyDescent="0.2">
      <c r="A57" s="48"/>
      <c r="B57" s="49"/>
      <c r="C57" s="52"/>
      <c r="D57" s="52"/>
      <c r="E57" s="52"/>
      <c r="F57" s="52"/>
      <c r="G57" s="52"/>
      <c r="H57" s="52"/>
      <c r="I57" s="52"/>
      <c r="J57" s="52"/>
      <c r="K57" s="52"/>
    </row>
    <row r="58" spans="1:11" x14ac:dyDescent="0.2">
      <c r="A58" s="122" t="s">
        <v>171</v>
      </c>
      <c r="B58" s="123"/>
      <c r="C58" s="124"/>
      <c r="D58" s="11"/>
      <c r="E58" s="52"/>
    </row>
    <row r="59" spans="1:11" x14ac:dyDescent="0.2">
      <c r="A59" s="48"/>
      <c r="B59" s="17"/>
      <c r="C59" s="52"/>
      <c r="E59" s="52"/>
    </row>
    <row r="60" spans="1:11" x14ac:dyDescent="0.2">
      <c r="A60" s="48"/>
      <c r="B60" s="17"/>
      <c r="E60" s="52"/>
    </row>
    <row r="61" spans="1:11" x14ac:dyDescent="0.2">
      <c r="A61" s="48"/>
      <c r="B61" s="17"/>
      <c r="E61" s="52"/>
    </row>
    <row r="62" spans="1:11" x14ac:dyDescent="0.2">
      <c r="A62" s="48"/>
      <c r="B62" s="17"/>
      <c r="E62" s="52"/>
    </row>
    <row r="63" spans="1:11" x14ac:dyDescent="0.2">
      <c r="A63" s="48"/>
      <c r="B63" s="17"/>
      <c r="E63" s="52"/>
    </row>
    <row r="64" spans="1:11" x14ac:dyDescent="0.2">
      <c r="A64" s="48"/>
      <c r="B64" s="17"/>
      <c r="E64" s="52"/>
    </row>
    <row r="65" spans="1:5" x14ac:dyDescent="0.2">
      <c r="A65" s="48"/>
      <c r="B65" s="17"/>
      <c r="E65" s="52"/>
    </row>
    <row r="66" spans="1:5" x14ac:dyDescent="0.2">
      <c r="B66" s="17"/>
      <c r="E66" s="52"/>
    </row>
    <row r="67" spans="1:5" x14ac:dyDescent="0.2">
      <c r="B67" s="17"/>
      <c r="E67" s="52"/>
    </row>
    <row r="68" spans="1:5" x14ac:dyDescent="0.2">
      <c r="A68" s="1"/>
      <c r="B68" s="16"/>
      <c r="E68" s="52"/>
    </row>
    <row r="69" spans="1:5" x14ac:dyDescent="0.2">
      <c r="A69" s="1"/>
      <c r="B69" s="16"/>
      <c r="E69" s="52"/>
    </row>
    <row r="70" spans="1:5" x14ac:dyDescent="0.2">
      <c r="A70" s="2"/>
      <c r="B70" s="16"/>
      <c r="E70" s="52"/>
    </row>
    <row r="71" spans="1:5" x14ac:dyDescent="0.2">
      <c r="A71" s="1"/>
      <c r="B71" s="16"/>
    </row>
    <row r="72" spans="1:5" x14ac:dyDescent="0.2">
      <c r="A72" s="2"/>
      <c r="B72" s="16"/>
    </row>
    <row r="73" spans="1:5" x14ac:dyDescent="0.2">
      <c r="B73" s="17"/>
    </row>
    <row r="74" spans="1:5" x14ac:dyDescent="0.2">
      <c r="B74" s="17"/>
    </row>
    <row r="75" spans="1:5" x14ac:dyDescent="0.2">
      <c r="A75" s="1"/>
      <c r="B75" s="16"/>
    </row>
    <row r="76" spans="1:5" x14ac:dyDescent="0.2">
      <c r="B76" s="17"/>
    </row>
  </sheetData>
  <mergeCells count="1">
    <mergeCell ref="A58:C58"/>
  </mergeCells>
  <pageMargins left="0.7" right="0.7" top="0.75" bottom="0.75" header="0.3" footer="0.3"/>
  <pageSetup paperSize="9" scale="73" fitToHeight="0" orientation="landscape" r:id="rId1"/>
  <headerFooter>
    <oddFooter>&amp;LКонтур.Фокус © АО «ПФ «СКБ Контур» 2019</oddFooter>
  </headerFooter>
  <rowBreaks count="2" manualBreakCount="2">
    <brk id="35" max="16383" man="1"/>
    <brk id="59" max="16383" man="1"/>
  </rowBreaks>
  <ignoredErrors>
    <ignoredError sqref="B3:B9 B12:B5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20"/>
  <sheetViews>
    <sheetView showGridLines="0" showRowColHeaders="0" zoomScale="110" zoomScaleNormal="110" workbookViewId="0">
      <selection activeCell="A6" sqref="A6"/>
    </sheetView>
  </sheetViews>
  <sheetFormatPr defaultRowHeight="12.75" x14ac:dyDescent="0.2"/>
  <cols>
    <col min="2" max="2" width="37.28515625" customWidth="1"/>
    <col min="3" max="7" width="17.7109375" customWidth="1"/>
    <col min="8" max="9" width="0" hidden="1" customWidth="1"/>
  </cols>
  <sheetData>
    <row r="6" spans="2:9" x14ac:dyDescent="0.2">
      <c r="B6" s="70" t="s">
        <v>177</v>
      </c>
      <c r="C6" s="131" t="s">
        <v>158</v>
      </c>
      <c r="D6" s="131" t="s">
        <v>159</v>
      </c>
      <c r="E6" s="131" t="s">
        <v>160</v>
      </c>
      <c r="F6" s="132" t="s">
        <v>105</v>
      </c>
      <c r="G6" s="132" t="s">
        <v>105</v>
      </c>
    </row>
    <row r="7" spans="2:9" x14ac:dyDescent="0.2">
      <c r="B7" s="69" t="s">
        <v>173</v>
      </c>
      <c r="C7" s="112" t="s">
        <v>161</v>
      </c>
      <c r="D7" s="112" t="s">
        <v>161</v>
      </c>
      <c r="E7" s="112">
        <v>2018</v>
      </c>
      <c r="F7" s="112" t="s">
        <v>188</v>
      </c>
      <c r="G7" s="112" t="s">
        <v>172</v>
      </c>
    </row>
    <row r="8" spans="2:9" x14ac:dyDescent="0.2">
      <c r="B8" s="70" t="s">
        <v>176</v>
      </c>
      <c r="C8" s="131" t="s">
        <v>158</v>
      </c>
      <c r="D8" s="131" t="s">
        <v>159</v>
      </c>
      <c r="E8" s="131" t="s">
        <v>160</v>
      </c>
      <c r="F8" s="132" t="s">
        <v>105</v>
      </c>
      <c r="G8" s="132" t="s">
        <v>105</v>
      </c>
    </row>
    <row r="9" spans="2:9" x14ac:dyDescent="0.2">
      <c r="B9" s="69" t="s">
        <v>174</v>
      </c>
      <c r="C9" s="112">
        <v>0</v>
      </c>
      <c r="D9" s="112">
        <v>0</v>
      </c>
      <c r="E9" s="112">
        <v>2</v>
      </c>
      <c r="F9" s="112">
        <v>3</v>
      </c>
      <c r="G9" s="112">
        <v>3</v>
      </c>
    </row>
    <row r="10" spans="2:9" x14ac:dyDescent="0.2">
      <c r="B10" s="70" t="s">
        <v>181</v>
      </c>
      <c r="C10" s="113" t="s">
        <v>180</v>
      </c>
      <c r="D10" s="113" t="s">
        <v>180</v>
      </c>
      <c r="E10" s="70"/>
      <c r="F10" s="70"/>
      <c r="G10" s="70"/>
      <c r="H10" t="s">
        <v>179</v>
      </c>
      <c r="I10" t="s">
        <v>180</v>
      </c>
    </row>
    <row r="11" spans="2:9" x14ac:dyDescent="0.2">
      <c r="B11" s="3"/>
      <c r="C11" s="3"/>
      <c r="D11" s="3"/>
      <c r="E11" s="3"/>
      <c r="F11" s="3"/>
      <c r="G11" s="3"/>
    </row>
    <row r="12" spans="2:9" x14ac:dyDescent="0.2">
      <c r="B12" s="3" t="s">
        <v>175</v>
      </c>
      <c r="C12" s="3"/>
      <c r="D12" s="3"/>
      <c r="E12" s="3"/>
      <c r="F12" s="3"/>
      <c r="G12" s="3"/>
    </row>
    <row r="13" spans="2:9" x14ac:dyDescent="0.2">
      <c r="B13" s="3" t="s">
        <v>178</v>
      </c>
      <c r="C13" s="3"/>
      <c r="D13" s="3"/>
      <c r="E13" s="3"/>
      <c r="F13" s="3"/>
      <c r="G13" s="3"/>
    </row>
    <row r="14" spans="2:9" x14ac:dyDescent="0.2">
      <c r="B14" s="3" t="s">
        <v>182</v>
      </c>
      <c r="C14" s="3"/>
      <c r="D14" s="3"/>
      <c r="E14" s="3"/>
      <c r="F14" s="3"/>
      <c r="G14" s="3"/>
    </row>
    <row r="15" spans="2:9" x14ac:dyDescent="0.2">
      <c r="B15" s="3"/>
      <c r="C15" s="3"/>
      <c r="D15" s="3"/>
      <c r="E15" s="3"/>
      <c r="F15" s="3"/>
      <c r="G15" s="3"/>
    </row>
    <row r="16" spans="2:9" x14ac:dyDescent="0.2">
      <c r="B16" s="3" t="s">
        <v>183</v>
      </c>
      <c r="C16" s="3"/>
      <c r="D16" s="3"/>
      <c r="E16" s="3"/>
      <c r="F16" s="3"/>
      <c r="G16" s="3"/>
    </row>
    <row r="17" spans="2:7" x14ac:dyDescent="0.2">
      <c r="B17" s="3" t="s">
        <v>184</v>
      </c>
      <c r="C17" s="3"/>
      <c r="D17" s="3"/>
      <c r="E17" s="3"/>
      <c r="F17" s="3"/>
      <c r="G17" s="3"/>
    </row>
    <row r="18" spans="2:7" x14ac:dyDescent="0.2">
      <c r="B18" s="3" t="s">
        <v>187</v>
      </c>
      <c r="C18" s="3"/>
      <c r="D18" s="3"/>
      <c r="E18" s="3"/>
      <c r="F18" s="3"/>
      <c r="G18" s="3"/>
    </row>
    <row r="19" spans="2:7" x14ac:dyDescent="0.2">
      <c r="B19" s="3" t="s">
        <v>185</v>
      </c>
      <c r="C19" s="3"/>
      <c r="D19" s="3"/>
      <c r="E19" s="3"/>
      <c r="F19" s="3"/>
      <c r="G19" s="3"/>
    </row>
    <row r="20" spans="2:7" x14ac:dyDescent="0.2">
      <c r="B20" s="3"/>
      <c r="C20" s="3"/>
      <c r="D20" s="3"/>
      <c r="E20" s="3"/>
      <c r="F20" s="3"/>
      <c r="G20" s="3"/>
    </row>
  </sheetData>
  <sheetProtection password="B578" sheet="1" objects="1" scenarios="1"/>
  <dataValidations count="1">
    <dataValidation type="list" allowBlank="1" showInputMessage="1" showErrorMessage="1" sqref="C10:D10">
      <formula1>УчетПриРасчетеКоэф</formula1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Прогноз (отчетность)</vt:lpstr>
      <vt:lpstr>Фин анализ</vt:lpstr>
      <vt:lpstr>-2 года</vt:lpstr>
      <vt:lpstr>-1 год</vt:lpstr>
      <vt:lpstr>Прогноз</vt:lpstr>
      <vt:lpstr>Настройки</vt:lpstr>
      <vt:lpstr>Настройки!Область_печати</vt:lpstr>
      <vt:lpstr>'Прогноз (отчетность)'!Область_печати</vt:lpstr>
      <vt:lpstr>'Фин анализ'!Область_печати</vt:lpstr>
      <vt:lpstr>УчетПриРасчетеКоэф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Контур.Фокус</dc:creator>
  <cp:lastModifiedBy>Клементьев Виктор</cp:lastModifiedBy>
  <cp:lastPrinted>2019-08-15T12:15:49Z</cp:lastPrinted>
  <dcterms:created xsi:type="dcterms:W3CDTF">2019-06-05T07:36:46Z</dcterms:created>
  <dcterms:modified xsi:type="dcterms:W3CDTF">2019-08-15T12:24:49Z</dcterms:modified>
</cp:coreProperties>
</file>